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25" windowWidth="14940" windowHeight="7635" firstSheet="1" activeTab="1"/>
  </bookViews>
  <sheets>
    <sheet name="Бюджет" sheetId="1" r:id="rId1"/>
    <sheet name="Исполнение тар сметы" sheetId="2" r:id="rId2"/>
  </sheets>
  <externalReferences>
    <externalReference r:id="rId5"/>
    <externalReference r:id="rId6"/>
  </externalReferences>
  <definedNames>
    <definedName name="_xlnm.Print_Titles" localSheetId="0">'Бюджет'!$7:$7</definedName>
    <definedName name="_xlnm.Print_Titles" localSheetId="1">'Исполнение тар сметы'!$7:$7</definedName>
  </definedNames>
  <calcPr fullCalcOnLoad="1"/>
</workbook>
</file>

<file path=xl/sharedStrings.xml><?xml version="1.0" encoding="utf-8"?>
<sst xmlns="http://schemas.openxmlformats.org/spreadsheetml/2006/main" count="816" uniqueCount="451">
  <si>
    <t>Тепловая энергия</t>
  </si>
  <si>
    <t>Доход от оказываемых услуг по иной деятельности</t>
  </si>
  <si>
    <t>Прочие поступления</t>
  </si>
  <si>
    <t>Дефицит (-), профицит (+)</t>
  </si>
  <si>
    <t>III.</t>
  </si>
  <si>
    <t>РАСХОДЫ всего</t>
  </si>
  <si>
    <t>1.1.</t>
  </si>
  <si>
    <t>1.2.</t>
  </si>
  <si>
    <t>ГСМ</t>
  </si>
  <si>
    <t>1.3.</t>
  </si>
  <si>
    <t>Энергия на хозяйственные нужды</t>
  </si>
  <si>
    <t>1.4.</t>
  </si>
  <si>
    <t>2.</t>
  </si>
  <si>
    <t>2.1.</t>
  </si>
  <si>
    <t>2.2.</t>
  </si>
  <si>
    <t>3.</t>
  </si>
  <si>
    <t>вознаграждение</t>
  </si>
  <si>
    <t>нарастающим итогом</t>
  </si>
  <si>
    <t>КПН</t>
  </si>
  <si>
    <t>ТМЗ на содержание хоз. инвентаря</t>
  </si>
  <si>
    <t>участие в семинаре</t>
  </si>
  <si>
    <t>тепловая энергия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</si>
  <si>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</si>
  <si>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</si>
  <si>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</si>
  <si>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</si>
  <si>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</si>
  <si>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</si>
  <si>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</si>
  <si>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</si>
  <si>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</si>
  <si>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</si>
  <si>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</si>
  <si>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</si>
  <si>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</si>
  <si>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</si>
  <si>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</si>
  <si>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</si>
  <si>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</si>
  <si>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</si>
  <si>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</si>
  <si>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</si>
  <si>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</si>
  <si>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</si>
  <si>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</si>
  <si>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1.40.</t>
  </si>
  <si>
    <t>1.41.</t>
  </si>
  <si>
    <t>1.42.</t>
  </si>
  <si>
    <t>Налоговые платежи, всего</t>
  </si>
  <si>
    <t>Сушильный шкаф низкотемпературный до 350°С (типа SNOL 67/350)</t>
  </si>
  <si>
    <t>Шкаф универсальный вытяжной (типа ШВ)</t>
  </si>
  <si>
    <t>Директор ТОО "Межрегионэнерготранзит"</t>
  </si>
  <si>
    <t>командировочные</t>
  </si>
  <si>
    <t>услуги Подрядчика</t>
  </si>
  <si>
    <t>ТО автотранспорта</t>
  </si>
  <si>
    <t>Арендные платежи</t>
  </si>
  <si>
    <t>Прочие затраты</t>
  </si>
  <si>
    <t>Налоговые платежи</t>
  </si>
  <si>
    <t>Другие расходы</t>
  </si>
  <si>
    <t>Аттестация рабочих мест</t>
  </si>
  <si>
    <t>Услуги по оценке имущества</t>
  </si>
  <si>
    <t>Лимит расходов</t>
  </si>
  <si>
    <t>Содержание автотранспорта</t>
  </si>
  <si>
    <t>холодная вода</t>
  </si>
  <si>
    <t>вывоз мусора</t>
  </si>
  <si>
    <t>Мед аптечки и медикаменты</t>
  </si>
  <si>
    <t>Медосмотр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</si>
  <si>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</si>
  <si>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</si>
  <si>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</si>
  <si>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</si>
  <si>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</si>
  <si>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</si>
  <si>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</si>
  <si>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</si>
  <si>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</si>
  <si>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</si>
  <si>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</si>
  <si>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2017 год</t>
  </si>
  <si>
    <t>Утверждено в тарифной смете</t>
  </si>
  <si>
    <t>Объем оказываемых услуг (товаров, работ)</t>
  </si>
  <si>
    <t>Затраты  на производство товаров и предоставление услуг, всего, в т.ч.</t>
  </si>
  <si>
    <t>Материальные затраты, всего, в т.ч.</t>
  </si>
  <si>
    <t>Покупные изделия</t>
  </si>
  <si>
    <t>1.4</t>
  </si>
  <si>
    <t>Топливо</t>
  </si>
  <si>
    <t>Затраты на компенсацию технологического расхода электрической энергии при передаче и распределении</t>
  </si>
  <si>
    <t>Расходы на оплату труда, всего, в т.ч.</t>
  </si>
  <si>
    <t>Заработная плата производственного персонала</t>
  </si>
  <si>
    <t>Обязательные профессиональные пенсионные взносы</t>
  </si>
  <si>
    <t>Ремонт, всего, в т.ч.</t>
  </si>
  <si>
    <t>4.1</t>
  </si>
  <si>
    <t>Капитальный ремонт, не приводящий к увеличению стоимости основных фондов</t>
  </si>
  <si>
    <t>Услуги производственного характера  сторонних организаций</t>
  </si>
  <si>
    <t>5.1</t>
  </si>
  <si>
    <t>5.2</t>
  </si>
  <si>
    <t>5.3</t>
  </si>
  <si>
    <t>Холодная вода и канализация</t>
  </si>
  <si>
    <t>Вывоз мусора</t>
  </si>
  <si>
    <t>5.4</t>
  </si>
  <si>
    <t>5.5</t>
  </si>
  <si>
    <t>5.6</t>
  </si>
  <si>
    <t>5.7</t>
  </si>
  <si>
    <t>5.8</t>
  </si>
  <si>
    <t>5.9</t>
  </si>
  <si>
    <t>5.10</t>
  </si>
  <si>
    <t>5.11</t>
  </si>
  <si>
    <t xml:space="preserve">      аренда аппаратуры ВЧ связи</t>
  </si>
  <si>
    <t>6.2.</t>
  </si>
  <si>
    <t xml:space="preserve">      аренда имущества (текущая)</t>
  </si>
  <si>
    <t xml:space="preserve">      Аренда помещения (текущая)</t>
  </si>
  <si>
    <t>6.3.</t>
  </si>
  <si>
    <t xml:space="preserve">      аренда автотранспорта</t>
  </si>
  <si>
    <t>7.1</t>
  </si>
  <si>
    <t>7.2</t>
  </si>
  <si>
    <t>7.3</t>
  </si>
  <si>
    <t>7.4</t>
  </si>
  <si>
    <t>перезарядка огнетушителей</t>
  </si>
  <si>
    <t>Приобретение Правил ТБ, ПТЭ, ППБ 908 шт.</t>
  </si>
  <si>
    <t>мед осмотр</t>
  </si>
  <si>
    <t>пополнение мед аптечек</t>
  </si>
  <si>
    <t>спецпитание</t>
  </si>
  <si>
    <t>спецодежда</t>
  </si>
  <si>
    <t>ТМЗ на предупреждение  несч случаев</t>
  </si>
  <si>
    <t>0</t>
  </si>
  <si>
    <t>Знаки</t>
  </si>
  <si>
    <t>ТМЗ производственной санитарии</t>
  </si>
  <si>
    <t>7.5</t>
  </si>
  <si>
    <t>7.6</t>
  </si>
  <si>
    <t>7.7.</t>
  </si>
  <si>
    <t>7.9</t>
  </si>
  <si>
    <t>сбор за проезд по дорогам РК</t>
  </si>
  <si>
    <t>переплет документов</t>
  </si>
  <si>
    <t>тех осмотр</t>
  </si>
  <si>
    <t>инспекционная проверка поверочной лаборатории</t>
  </si>
  <si>
    <t>услуги по обследованию ГПМ</t>
  </si>
  <si>
    <t>оценка состояния измерений в лаборатории</t>
  </si>
  <si>
    <t>услуги за преподавание в ЦПК</t>
  </si>
  <si>
    <t>аудит пожарной безопасности</t>
  </si>
  <si>
    <t>раздел ОосС к рабочему проекту</t>
  </si>
  <si>
    <t>тех обсл ККС</t>
  </si>
  <si>
    <t>разработка проета нормативов ПДВ</t>
  </si>
  <si>
    <t>проч налоги</t>
  </si>
  <si>
    <t>бланки удостоверений</t>
  </si>
  <si>
    <t>Расходы периода, всего, в т.ч.</t>
  </si>
  <si>
    <t>Общие административные расходы, всего, в том числе</t>
  </si>
  <si>
    <t xml:space="preserve">Заработная плата административного персонала </t>
  </si>
  <si>
    <t>Обязательное медицинское страхование</t>
  </si>
  <si>
    <t xml:space="preserve">Амортизация </t>
  </si>
  <si>
    <t>Амортизация нематериальных активов</t>
  </si>
  <si>
    <t xml:space="preserve">Износ ОС </t>
  </si>
  <si>
    <t>6.4.5</t>
  </si>
  <si>
    <t>6.5.1</t>
  </si>
  <si>
    <t xml:space="preserve">Услуги связи </t>
  </si>
  <si>
    <t>в том числе ГСМ</t>
  </si>
  <si>
    <t xml:space="preserve">Расходы на выплату вознаграждения </t>
  </si>
  <si>
    <t>Всего затрат на предоставление услуг по основной деятельности</t>
  </si>
  <si>
    <t>VI.</t>
  </si>
  <si>
    <t>VII.</t>
  </si>
  <si>
    <t>Затраты на реализацию инвестиционной программы (за минусом аморт отчислений)</t>
  </si>
  <si>
    <t>Инвестиционная программа</t>
  </si>
  <si>
    <t>СПРАВОЧНО:</t>
  </si>
  <si>
    <t>Затраты за счет прибыли и амортизационных отчислений</t>
  </si>
  <si>
    <t>Капитальный ремонт ОС, приводящий к увеличению их стоимости,  новое строительство</t>
  </si>
  <si>
    <t>ЛЭП-110 Троицк-ГРЭС-Станционная</t>
  </si>
  <si>
    <t>Замена индукционных счетчиков на электронные</t>
  </si>
  <si>
    <t>Замена устройств телемеханики</t>
  </si>
  <si>
    <t>Обновление ПО для АСКУЭ НПО Мир</t>
  </si>
  <si>
    <t>Здание Гараж на 10 автомашин (кровля)</t>
  </si>
  <si>
    <t>Электромастерская (кровля)</t>
  </si>
  <si>
    <t>Здание Монтерский пункт при ПСТ 35/10 кВ "Краснодон"</t>
  </si>
  <si>
    <t>Здание ОПУ, ЗРУ ПСТ 110/35/10 кВ "Кустанайская" Кровля</t>
  </si>
  <si>
    <t>Здание ОПУ, ЗРУ ПСТ 110/35/10 кВ "Кустанайская" (ПВХ-окна) подряд</t>
  </si>
  <si>
    <t>Здание РПБ ПСТ 110/10 кВ Федоровка (диспетчерский пункт) - Гостиница</t>
  </si>
  <si>
    <t>Служебно-бытовой корпус, Диспетчерский пункт (расширение РПБ) (Фасад - оштукатуривание.)</t>
  </si>
  <si>
    <t xml:space="preserve">РПБ Лисаковск (ремонт + отопление) </t>
  </si>
  <si>
    <t>Замена светильников на территории СБК</t>
  </si>
  <si>
    <t>Проектирование и строительство тёплой стоянки ПСТ "Южная"</t>
  </si>
  <si>
    <t>Проектирование и строительство гаража (пристройка к Боксу №2)</t>
  </si>
  <si>
    <t>Проектирование  гаража (Курганская №8)</t>
  </si>
  <si>
    <t>Приобретение ОС</t>
  </si>
  <si>
    <t>двигатель  ЯМЗ-236 1 шт</t>
  </si>
  <si>
    <t>двигатель  Зил-130 2 шт.</t>
  </si>
  <si>
    <t>двигатель ГАЗ-53(66) 3 шт.</t>
  </si>
  <si>
    <t>Автокран</t>
  </si>
  <si>
    <t>Полуприцеп 1 шт.</t>
  </si>
  <si>
    <t>Машина бурильно-крановая</t>
  </si>
  <si>
    <t>Электротехническая лаборатория</t>
  </si>
  <si>
    <t>ОС по охране труда</t>
  </si>
  <si>
    <t>Приборы по РЗАИ</t>
  </si>
  <si>
    <t>Монтаж контура заземления</t>
  </si>
  <si>
    <t>Проектирование и монтаж пож сигнализации</t>
  </si>
  <si>
    <t>Источник реализации  инвестпрограммы</t>
  </si>
  <si>
    <t>Источник реализации  инвестпрограммы                                                  нарастатющим итогом</t>
  </si>
  <si>
    <t>Членский взнос в КЭА</t>
  </si>
  <si>
    <t>Расчет ЭМС</t>
  </si>
  <si>
    <t>Информационные стенды</t>
  </si>
  <si>
    <r>
      <t xml:space="preserve">Сырье и материалы </t>
    </r>
    <r>
      <rPr>
        <sz val="8"/>
        <rFont val="Times New Roman"/>
        <family val="1"/>
      </rPr>
      <t>( экспл, ТМЗ на содержание помещений и за счет прибыли)</t>
    </r>
  </si>
  <si>
    <t>Услуги автотранспорта</t>
  </si>
  <si>
    <t>Реконструкция устройств РЗА и коммерческого учета по ВЛ на ПС 220 кВ "Заречная"</t>
  </si>
  <si>
    <t>Замена масляных выключателей 10 кВ на вакуумные с комплектами адаптации на ПС 110кВ "Глубокий ввод"</t>
  </si>
  <si>
    <t>Самотестируемый стенд испытаний СМИ-3</t>
  </si>
  <si>
    <t>IV.</t>
  </si>
  <si>
    <t>V.</t>
  </si>
  <si>
    <t>Замена масляных выключателей 10кВ на вакуумные с комплектами адаптации на ПС 110кВ "Целинная"</t>
  </si>
  <si>
    <t>Пожарные ящики</t>
  </si>
  <si>
    <t>Материальная помощь</t>
  </si>
  <si>
    <t>1.47.</t>
  </si>
  <si>
    <t>1.49.</t>
  </si>
  <si>
    <t>3.2.8.</t>
  </si>
  <si>
    <t>3.2.9.</t>
  </si>
  <si>
    <t>3.2.10.</t>
  </si>
  <si>
    <t>3.2.11.</t>
  </si>
  <si>
    <t>3.2.12.</t>
  </si>
  <si>
    <t>3.2.13.</t>
  </si>
  <si>
    <t>3.2.14.</t>
  </si>
  <si>
    <t>3.2.15.</t>
  </si>
  <si>
    <t>3.2.16.</t>
  </si>
  <si>
    <t>14.</t>
  </si>
  <si>
    <t>15.</t>
  </si>
  <si>
    <t>16.</t>
  </si>
  <si>
    <t>17.</t>
  </si>
  <si>
    <t>18.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</si>
  <si>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</si>
  <si>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</si>
  <si>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</si>
  <si>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</si>
  <si>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</si>
  <si>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</si>
  <si>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</si>
  <si>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</si>
  <si>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Энергия на хозяйственные нужды и для компенсации ТП, услуги по балансировке</t>
  </si>
  <si>
    <t>№ п/п</t>
  </si>
  <si>
    <t>Затраты на оказание услуг по передаче  электрической энергии</t>
  </si>
  <si>
    <t>Ремонт ЗиС</t>
  </si>
  <si>
    <t>Восстановление асфальт покрытия</t>
  </si>
  <si>
    <t>Модернизация оборудования связи в 2015 году</t>
  </si>
  <si>
    <t>с отсрочкой платежа</t>
  </si>
  <si>
    <t>в том числе погашение Кт задолженности</t>
  </si>
  <si>
    <t>Реконструкция ПС Кустанайская в 2015 году</t>
  </si>
  <si>
    <t>Реконструкция ПС Южная в 2015 году</t>
  </si>
  <si>
    <t>Абонентское обслуживание</t>
  </si>
  <si>
    <t>ТО авто</t>
  </si>
  <si>
    <t>%</t>
  </si>
  <si>
    <t>1.39.</t>
  </si>
  <si>
    <t>10.</t>
  </si>
  <si>
    <t>11.</t>
  </si>
  <si>
    <t>13.</t>
  </si>
  <si>
    <t>ПРИХОД денежных средств, всего</t>
  </si>
  <si>
    <t>тыс. тенге</t>
  </si>
  <si>
    <t>в том числе</t>
  </si>
  <si>
    <t>Доход от оказываемых услуг по основной деятельности</t>
  </si>
  <si>
    <t>1</t>
  </si>
  <si>
    <t>2</t>
  </si>
  <si>
    <t>Шиномонтажные работы</t>
  </si>
  <si>
    <t>2.3.</t>
  </si>
  <si>
    <t>янв</t>
  </si>
  <si>
    <t>фев</t>
  </si>
  <si>
    <t>мар</t>
  </si>
  <si>
    <t>апр</t>
  </si>
  <si>
    <t>1.46.</t>
  </si>
  <si>
    <t>1.48.</t>
  </si>
  <si>
    <t>№</t>
  </si>
  <si>
    <t xml:space="preserve">Наименование статей </t>
  </si>
  <si>
    <t>Ед. изм</t>
  </si>
  <si>
    <t>Поставщик услуг</t>
  </si>
  <si>
    <t>Стоимость с НДС</t>
  </si>
  <si>
    <t>Год</t>
  </si>
  <si>
    <t>1.43.</t>
  </si>
  <si>
    <t>1.44.</t>
  </si>
  <si>
    <t>1.45.</t>
  </si>
  <si>
    <t>Заработная плата к выдаче</t>
  </si>
  <si>
    <t>Обязательные пенсионные отчисления</t>
  </si>
  <si>
    <t>Подоходный налог</t>
  </si>
  <si>
    <t>Оплата труда, всего</t>
  </si>
  <si>
    <t>Переплет документов</t>
  </si>
  <si>
    <t>Расходные материалы для вычислительной техники</t>
  </si>
  <si>
    <t>Ремонт ОС, не приводящий к увеличению стоимости</t>
  </si>
  <si>
    <t>материалы</t>
  </si>
  <si>
    <t>4.</t>
  </si>
  <si>
    <t>Услуги связи</t>
  </si>
  <si>
    <t>Услуги по переработке электроэнергии тяговыми подстанциями</t>
  </si>
  <si>
    <t>Дератизация</t>
  </si>
  <si>
    <t>Демеркуризация РСЛ</t>
  </si>
  <si>
    <t>Услуги по обслуживанию теплосчетчиков</t>
  </si>
  <si>
    <t xml:space="preserve">Установка У1134 </t>
  </si>
  <si>
    <t>Автоматизированная установка для поверки и регулировки счетчиков типа ЦУ6804</t>
  </si>
  <si>
    <t xml:space="preserve">Киловольтметр высоковольтный (типа СКВ-100) </t>
  </si>
  <si>
    <t>М.А.Мельников</t>
  </si>
  <si>
    <t>19.</t>
  </si>
  <si>
    <t>СОГЛАСОВАНО:</t>
  </si>
  <si>
    <t>Заместитель директора по развитию и маркетингу:</t>
  </si>
  <si>
    <t>_____________________________А.С.Кузнецов</t>
  </si>
  <si>
    <t>______________________Тиесов Н.А.</t>
  </si>
  <si>
    <t>возврат по  займу</t>
  </si>
  <si>
    <t>УТВЕРЖДАЮ:</t>
  </si>
  <si>
    <t>Реконструкция ПС 110/35/10 кВ "Красный партизан" (замена  двух выключателей)</t>
  </si>
  <si>
    <t xml:space="preserve">в том  числе установка поверочная УПВ-1 </t>
  </si>
  <si>
    <t>другие</t>
  </si>
  <si>
    <t>Ед. изм.</t>
  </si>
  <si>
    <t>1.1</t>
  </si>
  <si>
    <t>Тех осмотр автомобилей</t>
  </si>
  <si>
    <t>в том числе зачетами</t>
  </si>
  <si>
    <t>Расходы на выплату вознаграждений за заемные средства для реализации инвестиционных программ</t>
  </si>
  <si>
    <t>3.1.</t>
  </si>
  <si>
    <t>3.2.</t>
  </si>
  <si>
    <t>Наименование показателей</t>
  </si>
  <si>
    <t>Участие в семинаре</t>
  </si>
  <si>
    <t>Материалы на содержание автобуса</t>
  </si>
  <si>
    <t>закуп эксплуатация</t>
  </si>
  <si>
    <t>займ</t>
  </si>
  <si>
    <t xml:space="preserve">Погашение основного долга </t>
  </si>
  <si>
    <t>Налоги</t>
  </si>
  <si>
    <t>Технические мероприятия Инвестпрограммы</t>
  </si>
  <si>
    <t>3.1.1.</t>
  </si>
  <si>
    <t>3.1.2.</t>
  </si>
  <si>
    <t>12.</t>
  </si>
  <si>
    <t>Прочие</t>
  </si>
  <si>
    <t>1.2</t>
  </si>
  <si>
    <t>Замена индукционных счетчиков электроэнергии 100 В на электронные с долговременной памятью в  точках коммерческого учета на ПС</t>
  </si>
  <si>
    <t>Другие материалы для улучшения бытовых условий</t>
  </si>
  <si>
    <t xml:space="preserve">Монтаж систем  видеонаблюдения </t>
  </si>
  <si>
    <t>Монтаж световой   сигнализации</t>
  </si>
  <si>
    <t>БЮДЖЕТ</t>
  </si>
  <si>
    <t xml:space="preserve">  ТОО "Межрегионэнерготранзит"  на  2016 год</t>
  </si>
  <si>
    <t>Дт задолжен-ность на 01.01.2016 г</t>
  </si>
  <si>
    <t>Кт задолжен-ность на 01.01.2016 г</t>
  </si>
  <si>
    <t>Всего на 2016  год</t>
  </si>
  <si>
    <t>Услуги по промывке тепловой сети</t>
  </si>
  <si>
    <t>Услуги по обслуживанию пожарной сигнализации</t>
  </si>
  <si>
    <t>5.</t>
  </si>
  <si>
    <t>Средства пожаротушения</t>
  </si>
  <si>
    <t>Спецпитание</t>
  </si>
  <si>
    <t>Защитные средства</t>
  </si>
  <si>
    <t>Спецодежда</t>
  </si>
  <si>
    <t>Тех  обслуживание кондиционеров</t>
  </si>
  <si>
    <t>Затраты на охрану объектов</t>
  </si>
  <si>
    <t>Сбор за проезд по дорогам РК</t>
  </si>
  <si>
    <t xml:space="preserve">Свидетельство о профессиональном образовании с обложкой </t>
  </si>
  <si>
    <t>Услуги по обследованию ГПМ</t>
  </si>
  <si>
    <t>6.</t>
  </si>
  <si>
    <t>тыс.тенге</t>
  </si>
  <si>
    <t xml:space="preserve">Аренда ВЧ-стоек </t>
  </si>
  <si>
    <t>Аренда автотранспорта</t>
  </si>
  <si>
    <t>7.</t>
  </si>
  <si>
    <t>НДС</t>
  </si>
  <si>
    <t>8.</t>
  </si>
  <si>
    <t>Услуги банка</t>
  </si>
  <si>
    <t>9.</t>
  </si>
  <si>
    <t>Исполнение инвестпрограммы</t>
  </si>
  <si>
    <t xml:space="preserve">Приобретение электросетевого имущества </t>
  </si>
  <si>
    <t>Прочие за счет прибыли</t>
  </si>
  <si>
    <t>Приобретение ОС по охране труда</t>
  </si>
  <si>
    <t>Расходы по иной деятельности</t>
  </si>
  <si>
    <t>Начальник ПЭО</t>
  </si>
  <si>
    <t>Сырье и материалы</t>
  </si>
  <si>
    <t>Социальный налог</t>
  </si>
  <si>
    <t>Коммунальные услуги</t>
  </si>
  <si>
    <t>Командировочные расходы</t>
  </si>
  <si>
    <t>Канцелярские расходы</t>
  </si>
  <si>
    <t>Охрана труда</t>
  </si>
  <si>
    <t>Поверка приборов</t>
  </si>
  <si>
    <t>Страхование  от несчастных случаев</t>
  </si>
  <si>
    <t>Страхование автотранспорта</t>
  </si>
  <si>
    <t>Типографские расходы</t>
  </si>
  <si>
    <t>Подготовка кадров</t>
  </si>
  <si>
    <t>Услуги почты</t>
  </si>
  <si>
    <t>Консалт., аудит, маркетинг услуги</t>
  </si>
  <si>
    <t>Публикация объявлений</t>
  </si>
  <si>
    <t>Нотариальные услуги</t>
  </si>
  <si>
    <t>Периодическая печать (подписка)</t>
  </si>
  <si>
    <t>Дт задолженность на 01.01.2017 г</t>
  </si>
  <si>
    <t>Кт задолженность на 01.01.2017 г</t>
  </si>
  <si>
    <t>Амортизация</t>
  </si>
  <si>
    <t>Поверка приборов и аккредитация лаборатории</t>
  </si>
  <si>
    <t>Услуги по проведению экспертиз</t>
  </si>
  <si>
    <t>отклонение</t>
  </si>
  <si>
    <t>Оформление имущества</t>
  </si>
  <si>
    <t>6.1.</t>
  </si>
  <si>
    <t xml:space="preserve">Замена индукционных счетчиков электроэнергии 380 В на точках учета собственных и хозяйственных нужд на электронные </t>
  </si>
  <si>
    <t xml:space="preserve">Замена индукционных счетчиков электроэнергии 100 В  на электронные без долговременной памяти в  точках коммерческого учета на ПС                         </t>
  </si>
  <si>
    <t>Счетчик эталонный трехфазный ЦЭ6815</t>
  </si>
  <si>
    <t>3.2.1.</t>
  </si>
  <si>
    <t>3.2.2.</t>
  </si>
  <si>
    <t>3.2.3.</t>
  </si>
  <si>
    <t>3.2.4.</t>
  </si>
  <si>
    <t>3.2.5.</t>
  </si>
  <si>
    <t>3.2.6.</t>
  </si>
  <si>
    <t>3.2.7.</t>
  </si>
  <si>
    <t>Мыло</t>
  </si>
  <si>
    <t>денежными средствами</t>
  </si>
  <si>
    <t>зачетами</t>
  </si>
  <si>
    <t>Сальдо денежных средств на начало месяца</t>
  </si>
  <si>
    <t>1.</t>
  </si>
  <si>
    <t>Объем оказываемых услуг</t>
  </si>
  <si>
    <t>тыс. кВтч</t>
  </si>
  <si>
    <t>Тариф</t>
  </si>
  <si>
    <t>тенге/кВтч</t>
  </si>
  <si>
    <t>II.</t>
  </si>
  <si>
    <t>I.</t>
  </si>
  <si>
    <t>3</t>
  </si>
  <si>
    <t>Аренда установки для поверки счетчиков</t>
  </si>
  <si>
    <t>Информационное сопровождение</t>
  </si>
  <si>
    <t>Услуги преподавателей в ЦПК</t>
  </si>
  <si>
    <t>Абонентская плата GPS</t>
  </si>
  <si>
    <t>Оценка имущества</t>
  </si>
  <si>
    <t>план</t>
  </si>
  <si>
    <t>факт</t>
  </si>
  <si>
    <t>прочие</t>
  </si>
  <si>
    <t>С начала год за 2 мес</t>
  </si>
  <si>
    <t>0,667</t>
  </si>
  <si>
    <t>1 квартал 2017 года</t>
  </si>
  <si>
    <t>ТО ВЛ 0,4 кВ</t>
  </si>
  <si>
    <t>4 месяца 2017 года</t>
  </si>
  <si>
    <t>ремонт водопровода</t>
  </si>
  <si>
    <t>5 месяцев 2017 года</t>
  </si>
  <si>
    <t>Сведения об исполнении тарифной сметы на регулируемые услуги</t>
  </si>
  <si>
    <t>по передаче и распределению электрической энергии</t>
  </si>
  <si>
    <t xml:space="preserve">тарифной  сметы  ТОО "Межрегионэнерготранзит" </t>
  </si>
  <si>
    <t>Отчетный период 1-е полугодие 2017 г.</t>
  </si>
  <si>
    <t>Предусмотрено в утвержденной тарифной смете на 2017 год</t>
  </si>
  <si>
    <t>Фактически сложившиеся показатели тарифной сметы (ожидаемое за 1 полугодие)</t>
  </si>
  <si>
    <t>Выполнение, %</t>
  </si>
  <si>
    <t>Причины отклонения</t>
  </si>
  <si>
    <t>В связи с произведенной переоценкой основных средств в декабре 2016 года</t>
  </si>
  <si>
    <t>Фактический показатели приведены за 6 месяцев, до конца года будут исполнены</t>
  </si>
  <si>
    <t>фактические показатели приведены за 6 месяцев, до конца года будут исполнены</t>
  </si>
  <si>
    <t>за счет прироста амортизационных отчислений, связанного с переоценкой основных средств</t>
  </si>
  <si>
    <t>8.1.</t>
  </si>
  <si>
    <t>8.2.</t>
  </si>
  <si>
    <t>8.3.</t>
  </si>
  <si>
    <t>8.4.</t>
  </si>
  <si>
    <t>8.4.1.</t>
  </si>
  <si>
    <t>8.4.2.</t>
  </si>
  <si>
    <t>8.4.3.</t>
  </si>
  <si>
    <t>8.4.4.</t>
  </si>
  <si>
    <t>8.4.5.</t>
  </si>
  <si>
    <t>8.4.6.</t>
  </si>
  <si>
    <t>8.4.7.</t>
  </si>
  <si>
    <t>8.4.8.</t>
  </si>
  <si>
    <t>8.5.</t>
  </si>
  <si>
    <t>8.5.1.</t>
  </si>
  <si>
    <t>8.5.2.</t>
  </si>
  <si>
    <t>8.5.3.</t>
  </si>
  <si>
    <t>8.5.4.</t>
  </si>
  <si>
    <t>8.5.5.</t>
  </si>
  <si>
    <t>8.5.6.</t>
  </si>
  <si>
    <t>Доход (РБА*СП)</t>
  </si>
  <si>
    <t>Всего доходов</t>
  </si>
  <si>
    <t>Нормативные технические потери</t>
  </si>
  <si>
    <t>Себестоимость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</si>
</sst>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0"/>
    <numFmt numFmtId="166" formatCode="#,##0.000"/>
    <numFmt numFmtId="167" formatCode="#,##0.00000"/>
    <numFmt numFmtId="168" formatCode="#,##0.000000"/>
    <numFmt numFmtId="169" formatCode="0.00000"/>
    <numFmt numFmtId="170" formatCode="0.0000"/>
    <numFmt numFmtId="171" formatCode="_-* #,##0.0_р_._-;\-* #,##0.0_р_._-;_-* &quot;-&quot;??_р_._-;_-@_-"/>
    <numFmt numFmtId="172" formatCode="_-* #,##0.000_р_._-;\-* #,##0.000_р_._-;_-* &quot;-&quot;??_р_._-;_-@_-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#,##0_ ;\-#,##0\ "/>
    <numFmt numFmtId="181" formatCode="dd/mm/yy;@"/>
    <numFmt numFmtId="182" formatCode="[$-419]mmmm\ yyyy;@"/>
    <numFmt numFmtId="183" formatCode="0.000000"/>
    <numFmt numFmtId="184" formatCode="#,##0.00_ ;[Red]\-#,##0.00\ "/>
    <numFmt numFmtId="185" formatCode="#,##0.0_ ;[Red]\-#,##0.0\ "/>
    <numFmt numFmtId="186" formatCode="#,##0.00_ ;\-#,##0.00\ "/>
    <numFmt numFmtId="187" formatCode="0.00000000"/>
    <numFmt numFmtId="188" formatCode="0.0000000"/>
    <numFmt numFmtId="189" formatCode="0.00;[Red]\-0.00"/>
    <numFmt numFmtId="190" formatCode="#,##0.00;[Red]\-#,##0.00"/>
    <numFmt numFmtId="191" formatCode="#,##0.0000000"/>
    <numFmt numFmtId="192" formatCode="#,##0.00000000"/>
    <numFmt numFmtId="193" formatCode="#,##0.000000000"/>
    <numFmt numFmtId="194" formatCode="0.0000000000"/>
    <numFmt numFmtId="195" formatCode="0.000000000"/>
    <numFmt numFmtId="196" formatCode="0.00000000000"/>
    <numFmt numFmtId="197" formatCode="0.000000000000"/>
    <numFmt numFmtId="198" formatCode="0.0000000000000"/>
    <numFmt numFmtId="199" formatCode="#,##0.00;[Red]#,##0.00"/>
    <numFmt numFmtId="200" formatCode="000"/>
    <numFmt numFmtId="201" formatCode="#,##0.00,"/>
    <numFmt numFmtId="202" formatCode="[=-13607967.98]&quot;(13 607,97)&quot;;General"/>
    <numFmt numFmtId="203" formatCode="[=0]&quot;-&quot;;General"/>
    <numFmt numFmtId="204" formatCode="[=-31259581.34]&quot;(31 259,58)&quot;;General"/>
    <numFmt numFmtId="205" formatCode="0.0%"/>
  </numFmts>
  <fonts count="7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b/>
      <sz val="12"/>
      <color indexed="10"/>
      <name val="Times New Roman"/>
      <family val="1"/>
    </font>
    <font>
      <i/>
      <sz val="9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Times New Roman"/>
      <family val="1"/>
    </font>
    <font>
      <b/>
      <i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i/>
      <sz val="11"/>
      <color indexed="10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5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2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12" borderId="0" applyNumberFormat="0" applyBorder="0" applyAlignment="0" applyProtection="0"/>
    <xf numFmtId="0" fontId="54" fillId="20" borderId="0" applyNumberFormat="0" applyBorder="0" applyAlignment="0" applyProtection="0"/>
    <xf numFmtId="0" fontId="54" fillId="25" borderId="0" applyNumberFormat="0" applyBorder="0" applyAlignment="0" applyProtection="0"/>
    <xf numFmtId="0" fontId="54" fillId="22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9" borderId="0" applyNumberFormat="0" applyBorder="0" applyAlignment="0" applyProtection="0"/>
    <xf numFmtId="0" fontId="26" fillId="3" borderId="0" applyNumberFormat="0" applyBorder="0" applyAlignment="0" applyProtection="0"/>
    <xf numFmtId="0" fontId="30" fillId="30" borderId="1" applyNumberFormat="0" applyAlignment="0" applyProtection="0"/>
    <xf numFmtId="0" fontId="32" fillId="31" borderId="2" applyNumberFormat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32" borderId="0" applyNumberFormat="0" applyBorder="0" applyAlignment="0" applyProtection="0"/>
    <xf numFmtId="0" fontId="37" fillId="33" borderId="7" applyNumberFormat="0" applyFont="0" applyAlignment="0" applyProtection="0"/>
    <xf numFmtId="0" fontId="29" fillId="30" borderId="8" applyNumberFormat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10" applyNumberFormat="0" applyAlignment="0" applyProtection="0"/>
    <xf numFmtId="0" fontId="56" fillId="41" borderId="11" applyNumberFormat="0" applyAlignment="0" applyProtection="0"/>
    <xf numFmtId="0" fontId="57" fillId="41" borderId="10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5" applyNumberFormat="0" applyFill="0" applyAlignment="0" applyProtection="0"/>
    <xf numFmtId="0" fontId="62" fillId="42" borderId="16" applyNumberFormat="0" applyAlignment="0" applyProtection="0"/>
    <xf numFmtId="0" fontId="63" fillId="0" borderId="0" applyNumberFormat="0" applyFill="0" applyBorder="0" applyAlignment="0" applyProtection="0"/>
    <xf numFmtId="0" fontId="64" fillId="43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65" fillId="44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45" borderId="17" applyNumberFormat="0" applyFont="0" applyAlignment="0" applyProtection="0"/>
    <xf numFmtId="9" fontId="0" fillId="0" borderId="0" applyFont="0" applyFill="0" applyBorder="0" applyAlignment="0" applyProtection="0"/>
    <xf numFmtId="0" fontId="67" fillId="0" borderId="18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46" borderId="0" applyNumberFormat="0" applyBorder="0" applyAlignment="0" applyProtection="0"/>
  </cellStyleXfs>
  <cellXfs count="263">
    <xf numFmtId="0" fontId="0" fillId="0" borderId="0" xfId="0" applyAlignment="1">
      <alignment/>
    </xf>
    <xf numFmtId="4" fontId="2" fillId="0" borderId="19" xfId="15" applyNumberFormat="1" applyFont="1" applyFill="1" applyBorder="1" applyAlignment="1">
      <alignment vertical="center" wrapText="1"/>
      <protection/>
    </xf>
    <xf numFmtId="0" fontId="2" fillId="0" borderId="0" xfId="100" applyFont="1" applyFill="1" applyAlignment="1">
      <alignment vertical="center" wrapText="1"/>
      <protection/>
    </xf>
    <xf numFmtId="0" fontId="2" fillId="0" borderId="0" xfId="100" applyFont="1" applyFill="1" applyAlignment="1">
      <alignment horizontal="left" vertical="center" wrapText="1"/>
      <protection/>
    </xf>
    <xf numFmtId="0" fontId="2" fillId="0" borderId="0" xfId="100" applyFont="1" applyFill="1" applyAlignment="1">
      <alignment horizontal="center" vertical="center" wrapText="1"/>
      <protection/>
    </xf>
    <xf numFmtId="4" fontId="2" fillId="0" borderId="0" xfId="100" applyNumberFormat="1" applyFont="1" applyFill="1" applyAlignment="1">
      <alignment vertical="center" wrapText="1"/>
      <protection/>
    </xf>
    <xf numFmtId="0" fontId="4" fillId="0" borderId="19" xfId="100" applyFont="1" applyFill="1" applyBorder="1" applyAlignment="1">
      <alignment horizontal="center" vertical="center" wrapText="1"/>
      <protection/>
    </xf>
    <xf numFmtId="0" fontId="2" fillId="0" borderId="20" xfId="100" applyFont="1" applyFill="1" applyBorder="1" applyAlignment="1">
      <alignment horizontal="center" vertical="center" wrapText="1"/>
      <protection/>
    </xf>
    <xf numFmtId="4" fontId="2" fillId="0" borderId="19" xfId="100" applyNumberFormat="1" applyFont="1" applyFill="1" applyBorder="1" applyAlignment="1">
      <alignment horizontal="center" vertical="center" wrapText="1"/>
      <protection/>
    </xf>
    <xf numFmtId="0" fontId="2" fillId="0" borderId="19" xfId="100" applyFont="1" applyFill="1" applyBorder="1" applyAlignment="1">
      <alignment horizontal="center" vertical="center" wrapText="1"/>
      <protection/>
    </xf>
    <xf numFmtId="0" fontId="1" fillId="0" borderId="19" xfId="100" applyFont="1" applyFill="1" applyBorder="1" applyAlignment="1">
      <alignment horizontal="center" vertical="center" wrapText="1"/>
      <protection/>
    </xf>
    <xf numFmtId="0" fontId="1" fillId="0" borderId="19" xfId="100" applyFont="1" applyFill="1" applyBorder="1" applyAlignment="1">
      <alignment horizontal="left" vertical="center" wrapText="1"/>
      <protection/>
    </xf>
    <xf numFmtId="4" fontId="1" fillId="0" borderId="19" xfId="100" applyNumberFormat="1" applyFont="1" applyFill="1" applyBorder="1" applyAlignment="1">
      <alignment horizontal="center" vertical="center" wrapText="1"/>
      <protection/>
    </xf>
    <xf numFmtId="4" fontId="2" fillId="0" borderId="19" xfId="100" applyNumberFormat="1" applyFont="1" applyFill="1" applyBorder="1" applyAlignment="1">
      <alignment horizontal="right" vertical="center" wrapText="1"/>
      <protection/>
    </xf>
    <xf numFmtId="4" fontId="1" fillId="0" borderId="19" xfId="100" applyNumberFormat="1" applyFont="1" applyFill="1" applyBorder="1" applyAlignment="1">
      <alignment vertical="center" wrapText="1"/>
      <protection/>
    </xf>
    <xf numFmtId="4" fontId="2" fillId="0" borderId="19" xfId="100" applyNumberFormat="1" applyFont="1" applyFill="1" applyBorder="1" applyAlignment="1">
      <alignment vertical="center" wrapText="1"/>
      <protection/>
    </xf>
    <xf numFmtId="0" fontId="2" fillId="0" borderId="19" xfId="100" applyFont="1" applyFill="1" applyBorder="1" applyAlignment="1">
      <alignment vertical="center" wrapText="1"/>
      <protection/>
    </xf>
    <xf numFmtId="4" fontId="1" fillId="0" borderId="19" xfId="100" applyNumberFormat="1" applyFont="1" applyFill="1" applyBorder="1" applyAlignment="1">
      <alignment horizontal="right" vertical="center" wrapText="1"/>
      <protection/>
    </xf>
    <xf numFmtId="0" fontId="2" fillId="0" borderId="19" xfId="100" applyFont="1" applyFill="1" applyBorder="1" applyAlignment="1">
      <alignment horizontal="left" vertical="center" wrapText="1"/>
      <protection/>
    </xf>
    <xf numFmtId="0" fontId="3" fillId="0" borderId="19" xfId="100" applyFont="1" applyFill="1" applyBorder="1" applyAlignment="1">
      <alignment horizontal="center" vertical="center" wrapText="1"/>
      <protection/>
    </xf>
    <xf numFmtId="0" fontId="6" fillId="0" borderId="19" xfId="100" applyFont="1" applyFill="1" applyBorder="1" applyAlignment="1">
      <alignment horizontal="center" vertical="center" wrapText="1"/>
      <protection/>
    </xf>
    <xf numFmtId="0" fontId="6" fillId="0" borderId="19" xfId="100" applyFont="1" applyFill="1" applyBorder="1" applyAlignment="1">
      <alignment horizontal="left" vertical="center" wrapText="1"/>
      <protection/>
    </xf>
    <xf numFmtId="0" fontId="7" fillId="0" borderId="19" xfId="100" applyFont="1" applyFill="1" applyBorder="1" applyAlignment="1">
      <alignment horizontal="center" vertical="center" wrapText="1"/>
      <protection/>
    </xf>
    <xf numFmtId="4" fontId="6" fillId="0" borderId="19" xfId="100" applyNumberFormat="1" applyFont="1" applyFill="1" applyBorder="1" applyAlignment="1">
      <alignment horizontal="right" vertical="center" wrapText="1"/>
      <protection/>
    </xf>
    <xf numFmtId="4" fontId="6" fillId="0" borderId="19" xfId="100" applyNumberFormat="1" applyFont="1" applyFill="1" applyBorder="1" applyAlignment="1">
      <alignment vertical="center" wrapText="1"/>
      <protection/>
    </xf>
    <xf numFmtId="0" fontId="6" fillId="0" borderId="0" xfId="100" applyFont="1" applyFill="1" applyAlignment="1">
      <alignment vertical="center" wrapText="1"/>
      <protection/>
    </xf>
    <xf numFmtId="2" fontId="2" fillId="0" borderId="19" xfId="100" applyNumberFormat="1" applyFont="1" applyFill="1" applyBorder="1" applyAlignment="1">
      <alignment horizontal="right" vertical="center" wrapText="1"/>
      <protection/>
    </xf>
    <xf numFmtId="0" fontId="8" fillId="0" borderId="19" xfId="100" applyFont="1" applyFill="1" applyBorder="1" applyAlignment="1">
      <alignment horizontal="center" vertical="center" wrapText="1"/>
      <protection/>
    </xf>
    <xf numFmtId="0" fontId="8" fillId="0" borderId="19" xfId="100" applyFont="1" applyFill="1" applyBorder="1" applyAlignment="1">
      <alignment horizontal="left" vertical="center" wrapText="1"/>
      <protection/>
    </xf>
    <xf numFmtId="4" fontId="8" fillId="0" borderId="19" xfId="100" applyNumberFormat="1" applyFont="1" applyFill="1" applyBorder="1" applyAlignment="1">
      <alignment horizontal="center" vertical="center" wrapText="1"/>
      <protection/>
    </xf>
    <xf numFmtId="4" fontId="8" fillId="0" borderId="19" xfId="100" applyNumberFormat="1" applyFont="1" applyFill="1" applyBorder="1" applyAlignment="1">
      <alignment horizontal="right" vertical="center" wrapText="1"/>
      <protection/>
    </xf>
    <xf numFmtId="4" fontId="8" fillId="0" borderId="19" xfId="100" applyNumberFormat="1" applyFont="1" applyFill="1" applyBorder="1" applyAlignment="1">
      <alignment vertical="center" wrapText="1"/>
      <protection/>
    </xf>
    <xf numFmtId="0" fontId="8" fillId="0" borderId="0" xfId="100" applyFont="1" applyFill="1" applyAlignment="1">
      <alignment vertical="center" wrapText="1"/>
      <protection/>
    </xf>
    <xf numFmtId="0" fontId="1" fillId="0" borderId="19" xfId="100" applyFont="1" applyFill="1" applyBorder="1" applyAlignment="1">
      <alignment vertical="center" wrapText="1"/>
      <protection/>
    </xf>
    <xf numFmtId="0" fontId="1" fillId="0" borderId="0" xfId="100" applyFont="1" applyFill="1" applyAlignment="1">
      <alignment vertical="center" wrapText="1"/>
      <protection/>
    </xf>
    <xf numFmtId="0" fontId="1" fillId="0" borderId="0" xfId="100" applyFont="1" applyFill="1" applyAlignment="1">
      <alignment horizontal="right" vertical="center" wrapText="1"/>
      <protection/>
    </xf>
    <xf numFmtId="16" fontId="2" fillId="0" borderId="19" xfId="100" applyNumberFormat="1" applyFont="1" applyFill="1" applyBorder="1" applyAlignment="1">
      <alignment horizontal="center" vertical="center" wrapText="1"/>
      <protection/>
    </xf>
    <xf numFmtId="4" fontId="9" fillId="0" borderId="19" xfId="100" applyNumberFormat="1" applyFont="1" applyFill="1" applyBorder="1" applyAlignment="1">
      <alignment vertical="center" wrapText="1"/>
      <protection/>
    </xf>
    <xf numFmtId="0" fontId="9" fillId="0" borderId="0" xfId="100" applyFont="1" applyFill="1" applyAlignment="1">
      <alignment vertical="center" wrapText="1"/>
      <protection/>
    </xf>
    <xf numFmtId="4" fontId="10" fillId="0" borderId="19" xfId="100" applyNumberFormat="1" applyFont="1" applyFill="1" applyBorder="1" applyAlignment="1">
      <alignment vertical="center" wrapText="1"/>
      <protection/>
    </xf>
    <xf numFmtId="0" fontId="10" fillId="0" borderId="0" xfId="100" applyFont="1" applyFill="1" applyAlignment="1">
      <alignment vertical="center" wrapText="1"/>
      <protection/>
    </xf>
    <xf numFmtId="16" fontId="1" fillId="0" borderId="19" xfId="100" applyNumberFormat="1" applyFont="1" applyFill="1" applyBorder="1" applyAlignment="1">
      <alignment horizontal="center" vertical="center" wrapText="1"/>
      <protection/>
    </xf>
    <xf numFmtId="0" fontId="11" fillId="0" borderId="0" xfId="100" applyFont="1" applyFill="1" applyAlignment="1">
      <alignment vertical="center" wrapText="1"/>
      <protection/>
    </xf>
    <xf numFmtId="4" fontId="1" fillId="0" borderId="0" xfId="100" applyNumberFormat="1" applyFont="1" applyFill="1" applyAlignment="1">
      <alignment vertical="center" wrapText="1"/>
      <protection/>
    </xf>
    <xf numFmtId="2" fontId="2" fillId="0" borderId="19" xfId="100" applyNumberFormat="1" applyFont="1" applyFill="1" applyBorder="1" applyAlignment="1">
      <alignment vertical="center" wrapText="1"/>
      <protection/>
    </xf>
    <xf numFmtId="0" fontId="3" fillId="0" borderId="19" xfId="100" applyFont="1" applyFill="1" applyBorder="1" applyAlignment="1">
      <alignment horizontal="left" vertical="center" wrapText="1"/>
      <protection/>
    </xf>
    <xf numFmtId="16" fontId="2" fillId="0" borderId="20" xfId="100" applyNumberFormat="1" applyFont="1" applyFill="1" applyBorder="1" applyAlignment="1">
      <alignment horizontal="center" vertical="center" wrapText="1"/>
      <protection/>
    </xf>
    <xf numFmtId="0" fontId="3" fillId="0" borderId="19" xfId="100" applyFont="1" applyFill="1" applyBorder="1" applyAlignment="1">
      <alignment horizontal="right" vertical="center" wrapText="1"/>
      <protection/>
    </xf>
    <xf numFmtId="0" fontId="2" fillId="0" borderId="19" xfId="0" applyFont="1" applyFill="1" applyBorder="1" applyAlignment="1">
      <alignment vertical="center" wrapText="1"/>
    </xf>
    <xf numFmtId="0" fontId="4" fillId="0" borderId="19" xfId="100" applyFont="1" applyFill="1" applyBorder="1" applyAlignment="1">
      <alignment horizontal="right" vertical="center" wrapText="1"/>
      <protection/>
    </xf>
    <xf numFmtId="0" fontId="2" fillId="0" borderId="0" xfId="100" applyFont="1" applyFill="1" applyBorder="1" applyAlignment="1">
      <alignment vertical="center" wrapText="1"/>
      <protection/>
    </xf>
    <xf numFmtId="0" fontId="2" fillId="0" borderId="0" xfId="100" applyFont="1" applyFill="1" applyBorder="1" applyAlignment="1">
      <alignment horizontal="center" vertical="center" wrapText="1"/>
      <protection/>
    </xf>
    <xf numFmtId="4" fontId="2" fillId="0" borderId="0" xfId="100" applyNumberFormat="1" applyFont="1" applyFill="1" applyBorder="1" applyAlignment="1">
      <alignment vertical="center" wrapText="1"/>
      <protection/>
    </xf>
    <xf numFmtId="0" fontId="2" fillId="0" borderId="0" xfId="100" applyFont="1" applyFill="1" applyAlignment="1">
      <alignment horizontal="right" vertical="center" wrapText="1"/>
      <protection/>
    </xf>
    <xf numFmtId="4" fontId="2" fillId="0" borderId="0" xfId="100" applyNumberFormat="1" applyFont="1" applyFill="1" applyAlignment="1">
      <alignment horizontal="center" vertical="center" wrapText="1"/>
      <protection/>
    </xf>
    <xf numFmtId="0" fontId="1" fillId="0" borderId="20" xfId="100" applyFont="1" applyFill="1" applyBorder="1" applyAlignment="1">
      <alignment horizontal="center" vertical="center" wrapText="1"/>
      <protection/>
    </xf>
    <xf numFmtId="4" fontId="1" fillId="0" borderId="20" xfId="100" applyNumberFormat="1" applyFont="1" applyFill="1" applyBorder="1" applyAlignment="1">
      <alignment horizontal="center" vertical="center" wrapText="1"/>
      <protection/>
    </xf>
    <xf numFmtId="4" fontId="2" fillId="0" borderId="19" xfId="100" applyNumberFormat="1" applyFont="1" applyFill="1" applyBorder="1" applyAlignment="1">
      <alignment horizontal="left" vertical="center" wrapText="1"/>
      <protection/>
    </xf>
    <xf numFmtId="4" fontId="2" fillId="0" borderId="0" xfId="100" applyNumberFormat="1" applyFont="1" applyFill="1" applyAlignment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4" fontId="13" fillId="0" borderId="19" xfId="100" applyNumberFormat="1" applyFont="1" applyFill="1" applyBorder="1" applyAlignment="1">
      <alignment vertical="center" wrapText="1"/>
      <protection/>
    </xf>
    <xf numFmtId="4" fontId="13" fillId="0" borderId="0" xfId="100" applyNumberFormat="1" applyFont="1" applyFill="1" applyAlignment="1">
      <alignment vertical="center" wrapText="1"/>
      <protection/>
    </xf>
    <xf numFmtId="4" fontId="14" fillId="0" borderId="0" xfId="100" applyNumberFormat="1" applyFont="1" applyFill="1" applyAlignment="1">
      <alignment vertical="center" wrapText="1"/>
      <protection/>
    </xf>
    <xf numFmtId="0" fontId="13" fillId="0" borderId="19" xfId="0" applyFont="1" applyFill="1" applyBorder="1" applyAlignment="1">
      <alignment horizontal="left" vertical="center" wrapText="1"/>
    </xf>
    <xf numFmtId="16" fontId="13" fillId="0" borderId="19" xfId="100" applyNumberFormat="1" applyFont="1" applyFill="1" applyBorder="1" applyAlignment="1">
      <alignment horizontal="center" vertical="center" wrapText="1"/>
      <protection/>
    </xf>
    <xf numFmtId="0" fontId="13" fillId="0" borderId="19" xfId="100" applyFont="1" applyFill="1" applyBorder="1" applyAlignment="1">
      <alignment horizontal="center" vertical="center" wrapText="1"/>
      <protection/>
    </xf>
    <xf numFmtId="0" fontId="13" fillId="0" borderId="19" xfId="100" applyFont="1" applyFill="1" applyBorder="1" applyAlignment="1">
      <alignment horizontal="left" vertical="center" wrapText="1"/>
      <protection/>
    </xf>
    <xf numFmtId="4" fontId="13" fillId="0" borderId="19" xfId="100" applyNumberFormat="1" applyFont="1" applyFill="1" applyBorder="1" applyAlignment="1">
      <alignment horizontal="right" vertical="center" wrapText="1"/>
      <protection/>
    </xf>
    <xf numFmtId="0" fontId="13" fillId="0" borderId="0" xfId="100" applyFont="1" applyFill="1" applyAlignment="1">
      <alignment vertical="center" wrapText="1"/>
      <protection/>
    </xf>
    <xf numFmtId="4" fontId="9" fillId="0" borderId="19" xfId="100" applyNumberFormat="1" applyFont="1" applyFill="1" applyBorder="1" applyAlignment="1">
      <alignment horizontal="right" vertical="center" wrapText="1"/>
      <protection/>
    </xf>
    <xf numFmtId="0" fontId="2" fillId="0" borderId="19" xfId="15" applyFont="1" applyFill="1" applyBorder="1" applyAlignment="1">
      <alignment vertical="center" wrapText="1"/>
      <protection/>
    </xf>
    <xf numFmtId="4" fontId="6" fillId="0" borderId="0" xfId="100" applyNumberFormat="1" applyFont="1" applyFill="1" applyAlignment="1">
      <alignment vertical="center" wrapText="1"/>
      <protection/>
    </xf>
    <xf numFmtId="0" fontId="1" fillId="0" borderId="0" xfId="100" applyFont="1" applyFill="1" applyAlignment="1">
      <alignment horizontal="center" vertical="center" wrapText="1"/>
      <protection/>
    </xf>
    <xf numFmtId="0" fontId="1" fillId="0" borderId="0" xfId="100" applyFont="1" applyFill="1" applyAlignment="1">
      <alignment horizontal="left" vertical="center" wrapText="1"/>
      <protection/>
    </xf>
    <xf numFmtId="4" fontId="9" fillId="0" borderId="19" xfId="100" applyNumberFormat="1" applyFont="1" applyFill="1" applyBorder="1" applyAlignment="1">
      <alignment horizontal="left" vertical="center" wrapText="1"/>
      <protection/>
    </xf>
    <xf numFmtId="4" fontId="9" fillId="0" borderId="19" xfId="100" applyNumberFormat="1" applyFont="1" applyFill="1" applyBorder="1" applyAlignment="1">
      <alignment horizontal="center" vertical="center" wrapText="1"/>
      <protection/>
    </xf>
    <xf numFmtId="16" fontId="9" fillId="0" borderId="19" xfId="100" applyNumberFormat="1" applyFont="1" applyFill="1" applyBorder="1" applyAlignment="1">
      <alignment horizontal="center" vertical="center" wrapText="1"/>
      <protection/>
    </xf>
    <xf numFmtId="0" fontId="15" fillId="0" borderId="19" xfId="100" applyFont="1" applyFill="1" applyBorder="1" applyAlignment="1">
      <alignment horizontal="center" vertical="center" wrapText="1"/>
      <protection/>
    </xf>
    <xf numFmtId="0" fontId="9" fillId="0" borderId="19" xfId="0" applyFont="1" applyFill="1" applyBorder="1" applyAlignment="1">
      <alignment horizontal="left" vertical="center" wrapText="1"/>
    </xf>
    <xf numFmtId="2" fontId="9" fillId="0" borderId="19" xfId="100" applyNumberFormat="1" applyFont="1" applyFill="1" applyBorder="1" applyAlignment="1">
      <alignment vertical="center" wrapText="1"/>
      <protection/>
    </xf>
    <xf numFmtId="0" fontId="9" fillId="0" borderId="19" xfId="0" applyFont="1" applyFill="1" applyBorder="1" applyAlignment="1">
      <alignment horizontal="center" vertical="center" wrapText="1"/>
    </xf>
    <xf numFmtId="4" fontId="2" fillId="0" borderId="20" xfId="100" applyNumberFormat="1" applyFont="1" applyFill="1" applyBorder="1" applyAlignment="1">
      <alignment vertical="center" wrapText="1"/>
      <protection/>
    </xf>
    <xf numFmtId="2" fontId="2" fillId="0" borderId="0" xfId="100" applyNumberFormat="1" applyFont="1" applyFill="1" applyAlignment="1">
      <alignment vertical="center" wrapText="1"/>
      <protection/>
    </xf>
    <xf numFmtId="4" fontId="2" fillId="0" borderId="0" xfId="100" applyNumberFormat="1" applyFont="1" applyFill="1" applyAlignment="1">
      <alignment horizontal="right" vertical="center" wrapText="1"/>
      <protection/>
    </xf>
    <xf numFmtId="4" fontId="14" fillId="0" borderId="19" xfId="100" applyNumberFormat="1" applyFont="1" applyFill="1" applyBorder="1" applyAlignment="1">
      <alignment vertical="center" wrapText="1"/>
      <protection/>
    </xf>
    <xf numFmtId="0" fontId="14" fillId="0" borderId="0" xfId="100" applyFont="1" applyFill="1" applyAlignment="1">
      <alignment vertical="center" wrapText="1"/>
      <protection/>
    </xf>
    <xf numFmtId="4" fontId="18" fillId="0" borderId="0" xfId="100" applyNumberFormat="1" applyFont="1" applyFill="1" applyAlignment="1">
      <alignment horizontal="center" vertical="center" wrapText="1"/>
      <protection/>
    </xf>
    <xf numFmtId="0" fontId="2" fillId="0" borderId="19" xfId="100" applyFont="1" applyFill="1" applyBorder="1" applyAlignment="1">
      <alignment horizontal="right" vertical="center" wrapText="1"/>
      <protection/>
    </xf>
    <xf numFmtId="4" fontId="2" fillId="0" borderId="21" xfId="100" applyNumberFormat="1" applyFont="1" applyFill="1" applyBorder="1" applyAlignment="1">
      <alignment horizontal="center" vertical="center" wrapText="1"/>
      <protection/>
    </xf>
    <xf numFmtId="4" fontId="19" fillId="0" borderId="19" xfId="100" applyNumberFormat="1" applyFont="1" applyFill="1" applyBorder="1" applyAlignment="1">
      <alignment vertical="center" wrapText="1"/>
      <protection/>
    </xf>
    <xf numFmtId="0" fontId="2" fillId="0" borderId="21" xfId="100" applyFont="1" applyFill="1" applyBorder="1" applyAlignment="1">
      <alignment horizontal="center" vertical="center" wrapText="1"/>
      <protection/>
    </xf>
    <xf numFmtId="16" fontId="6" fillId="0" borderId="19" xfId="100" applyNumberFormat="1" applyFont="1" applyFill="1" applyBorder="1" applyAlignment="1">
      <alignment horizontal="center" vertical="center" wrapText="1"/>
      <protection/>
    </xf>
    <xf numFmtId="4" fontId="6" fillId="0" borderId="19" xfId="100" applyNumberFormat="1" applyFont="1" applyFill="1" applyBorder="1" applyAlignment="1">
      <alignment horizontal="left" vertical="center" wrapText="1"/>
      <protection/>
    </xf>
    <xf numFmtId="4" fontId="6" fillId="0" borderId="19" xfId="100" applyNumberFormat="1" applyFont="1" applyFill="1" applyBorder="1" applyAlignment="1">
      <alignment horizontal="center" vertical="center" wrapText="1"/>
      <protection/>
    </xf>
    <xf numFmtId="4" fontId="15" fillId="0" borderId="19" xfId="100" applyNumberFormat="1" applyFont="1" applyFill="1" applyBorder="1" applyAlignment="1">
      <alignment horizontal="center" vertical="center" wrapText="1"/>
      <protection/>
    </xf>
    <xf numFmtId="4" fontId="15" fillId="0" borderId="19" xfId="100" applyNumberFormat="1" applyFont="1" applyFill="1" applyBorder="1" applyAlignment="1">
      <alignment horizontal="right" vertical="center" wrapText="1"/>
      <protection/>
    </xf>
    <xf numFmtId="16" fontId="15" fillId="0" borderId="19" xfId="100" applyNumberFormat="1" applyFont="1" applyFill="1" applyBorder="1" applyAlignment="1">
      <alignment horizontal="center" vertical="center" wrapText="1"/>
      <protection/>
    </xf>
    <xf numFmtId="4" fontId="15" fillId="0" borderId="19" xfId="100" applyNumberFormat="1" applyFont="1" applyFill="1" applyBorder="1" applyAlignment="1">
      <alignment horizontal="left" vertical="center" wrapText="1"/>
      <protection/>
    </xf>
    <xf numFmtId="4" fontId="15" fillId="0" borderId="19" xfId="100" applyNumberFormat="1" applyFont="1" applyFill="1" applyBorder="1" applyAlignment="1">
      <alignment vertical="center" wrapText="1"/>
      <protection/>
    </xf>
    <xf numFmtId="166" fontId="1" fillId="0" borderId="19" xfId="100" applyNumberFormat="1" applyFont="1" applyFill="1" applyBorder="1" applyAlignment="1">
      <alignment horizontal="right" vertical="center" wrapText="1"/>
      <protection/>
    </xf>
    <xf numFmtId="4" fontId="41" fillId="0" borderId="19" xfId="100" applyNumberFormat="1" applyFont="1" applyFill="1" applyBorder="1" applyAlignment="1">
      <alignment vertical="center" wrapText="1"/>
      <protection/>
    </xf>
    <xf numFmtId="4" fontId="9" fillId="0" borderId="0" xfId="100" applyNumberFormat="1" applyFont="1" applyFill="1" applyAlignment="1">
      <alignment vertical="center" wrapText="1"/>
      <protection/>
    </xf>
    <xf numFmtId="4" fontId="10" fillId="0" borderId="0" xfId="100" applyNumberFormat="1" applyFont="1" applyFill="1" applyAlignment="1">
      <alignment vertical="center" wrapText="1"/>
      <protection/>
    </xf>
    <xf numFmtId="0" fontId="4" fillId="0" borderId="20" xfId="100" applyFont="1" applyFill="1" applyBorder="1" applyAlignment="1">
      <alignment horizontal="center" vertical="center" wrapText="1"/>
      <protection/>
    </xf>
    <xf numFmtId="4" fontId="1" fillId="0" borderId="0" xfId="100" applyNumberFormat="1" applyFont="1" applyFill="1" applyAlignment="1">
      <alignment horizontal="right" vertical="center" wrapText="1"/>
      <protection/>
    </xf>
    <xf numFmtId="165" fontId="9" fillId="0" borderId="19" xfId="100" applyNumberFormat="1" applyFont="1" applyFill="1" applyBorder="1" applyAlignment="1">
      <alignment horizontal="center" vertical="center" wrapText="1"/>
      <protection/>
    </xf>
    <xf numFmtId="165" fontId="9" fillId="0" borderId="19" xfId="100" applyNumberFormat="1" applyFont="1" applyFill="1" applyBorder="1" applyAlignment="1">
      <alignment horizontal="right" vertical="center" wrapText="1"/>
      <protection/>
    </xf>
    <xf numFmtId="4" fontId="11" fillId="0" borderId="0" xfId="100" applyNumberFormat="1" applyFont="1" applyFill="1" applyAlignment="1">
      <alignment vertical="center" wrapText="1"/>
      <protection/>
    </xf>
    <xf numFmtId="16" fontId="14" fillId="0" borderId="19" xfId="100" applyNumberFormat="1" applyFont="1" applyFill="1" applyBorder="1" applyAlignment="1">
      <alignment horizontal="center" vertical="center" wrapText="1"/>
      <protection/>
    </xf>
    <xf numFmtId="0" fontId="14" fillId="0" borderId="19" xfId="100" applyFont="1" applyFill="1" applyBorder="1" applyAlignment="1">
      <alignment horizontal="center" vertical="center" wrapText="1"/>
      <protection/>
    </xf>
    <xf numFmtId="4" fontId="14" fillId="0" borderId="19" xfId="100" applyNumberFormat="1" applyFont="1" applyFill="1" applyBorder="1" applyAlignment="1">
      <alignment horizontal="right" vertical="center" wrapText="1"/>
      <protection/>
    </xf>
    <xf numFmtId="4" fontId="13" fillId="0" borderId="19" xfId="100" applyNumberFormat="1" applyFont="1" applyFill="1" applyBorder="1" applyAlignment="1">
      <alignment horizontal="center" vertical="center" wrapText="1"/>
      <protection/>
    </xf>
    <xf numFmtId="0" fontId="13" fillId="0" borderId="19" xfId="0" applyFont="1" applyFill="1" applyBorder="1" applyAlignment="1">
      <alignment vertical="center" wrapText="1"/>
    </xf>
    <xf numFmtId="0" fontId="4" fillId="0" borderId="19" xfId="100" applyFont="1" applyFill="1" applyBorder="1" applyAlignment="1">
      <alignment horizontal="left" vertical="center" wrapText="1"/>
      <protection/>
    </xf>
    <xf numFmtId="4" fontId="2" fillId="0" borderId="0" xfId="100" applyNumberFormat="1" applyFont="1" applyFill="1" applyBorder="1" applyAlignment="1">
      <alignment horizontal="right" vertical="center" wrapText="1"/>
      <protection/>
    </xf>
    <xf numFmtId="4" fontId="16" fillId="0" borderId="19" xfId="100" applyNumberFormat="1" applyFont="1" applyFill="1" applyBorder="1" applyAlignment="1">
      <alignment horizontal="right" vertical="center" wrapText="1"/>
      <protection/>
    </xf>
    <xf numFmtId="0" fontId="1" fillId="0" borderId="22" xfId="100" applyFont="1" applyFill="1" applyBorder="1" applyAlignment="1">
      <alignment horizontal="center" vertical="center" wrapText="1"/>
      <protection/>
    </xf>
    <xf numFmtId="4" fontId="40" fillId="0" borderId="19" xfId="100" applyNumberFormat="1" applyFont="1" applyFill="1" applyBorder="1" applyAlignment="1">
      <alignment vertical="center" wrapText="1"/>
      <protection/>
    </xf>
    <xf numFmtId="0" fontId="11" fillId="0" borderId="19" xfId="100" applyFont="1" applyFill="1" applyBorder="1" applyAlignment="1">
      <alignment horizontal="center" vertical="center" wrapText="1"/>
      <protection/>
    </xf>
    <xf numFmtId="0" fontId="11" fillId="0" borderId="19" xfId="0" applyFont="1" applyFill="1" applyBorder="1" applyAlignment="1">
      <alignment horizontal="left" vertical="center" wrapText="1"/>
    </xf>
    <xf numFmtId="0" fontId="42" fillId="0" borderId="19" xfId="100" applyFont="1" applyFill="1" applyBorder="1" applyAlignment="1">
      <alignment horizontal="center" vertical="center" wrapText="1"/>
      <protection/>
    </xf>
    <xf numFmtId="4" fontId="11" fillId="0" borderId="19" xfId="100" applyNumberFormat="1" applyFont="1" applyFill="1" applyBorder="1" applyAlignment="1">
      <alignment horizontal="right" vertical="center" wrapText="1"/>
      <protection/>
    </xf>
    <xf numFmtId="4" fontId="8" fillId="0" borderId="0" xfId="100" applyNumberFormat="1" applyFont="1" applyFill="1" applyAlignment="1">
      <alignment vertical="center" wrapText="1"/>
      <protection/>
    </xf>
    <xf numFmtId="16" fontId="43" fillId="0" borderId="19" xfId="100" applyNumberFormat="1" applyFont="1" applyFill="1" applyBorder="1" applyAlignment="1">
      <alignment horizontal="center" vertical="center" wrapText="1"/>
      <protection/>
    </xf>
    <xf numFmtId="4" fontId="43" fillId="0" borderId="19" xfId="100" applyNumberFormat="1" applyFont="1" applyFill="1" applyBorder="1" applyAlignment="1">
      <alignment horizontal="left" vertical="center" wrapText="1"/>
      <protection/>
    </xf>
    <xf numFmtId="0" fontId="43" fillId="0" borderId="19" xfId="100" applyFont="1" applyFill="1" applyBorder="1" applyAlignment="1">
      <alignment horizontal="center" vertical="center" wrapText="1"/>
      <protection/>
    </xf>
    <xf numFmtId="4" fontId="43" fillId="0" borderId="19" xfId="100" applyNumberFormat="1" applyFont="1" applyFill="1" applyBorder="1" applyAlignment="1">
      <alignment horizontal="center" vertical="center" wrapText="1"/>
      <protection/>
    </xf>
    <xf numFmtId="4" fontId="43" fillId="0" borderId="19" xfId="100" applyNumberFormat="1" applyFont="1" applyFill="1" applyBorder="1" applyAlignment="1">
      <alignment horizontal="right" vertical="center" wrapText="1"/>
      <protection/>
    </xf>
    <xf numFmtId="4" fontId="43" fillId="0" borderId="19" xfId="100" applyNumberFormat="1" applyFont="1" applyFill="1" applyBorder="1" applyAlignment="1">
      <alignment vertical="center" wrapText="1"/>
      <protection/>
    </xf>
    <xf numFmtId="4" fontId="44" fillId="0" borderId="19" xfId="100" applyNumberFormat="1" applyFont="1" applyFill="1" applyBorder="1" applyAlignment="1">
      <alignment horizontal="right" vertical="center" wrapText="1"/>
      <protection/>
    </xf>
    <xf numFmtId="4" fontId="45" fillId="0" borderId="0" xfId="100" applyNumberFormat="1" applyFont="1" applyFill="1" applyAlignment="1">
      <alignment horizontal="right" vertical="center" wrapText="1"/>
      <protection/>
    </xf>
    <xf numFmtId="4" fontId="43" fillId="0" borderId="0" xfId="100" applyNumberFormat="1" applyFont="1" applyFill="1" applyAlignment="1">
      <alignment vertical="center" wrapText="1"/>
      <protection/>
    </xf>
    <xf numFmtId="0" fontId="43" fillId="0" borderId="0" xfId="100" applyFont="1" applyFill="1" applyAlignment="1">
      <alignment vertical="center" wrapText="1"/>
      <protection/>
    </xf>
    <xf numFmtId="4" fontId="46" fillId="0" borderId="19" xfId="100" applyNumberFormat="1" applyFont="1" applyFill="1" applyBorder="1" applyAlignment="1">
      <alignment horizontal="right" vertical="center" wrapText="1"/>
      <protection/>
    </xf>
    <xf numFmtId="0" fontId="44" fillId="0" borderId="19" xfId="100" applyFont="1" applyFill="1" applyBorder="1" applyAlignment="1">
      <alignment horizontal="center" vertical="center" wrapText="1"/>
      <protection/>
    </xf>
    <xf numFmtId="4" fontId="44" fillId="0" borderId="19" xfId="100" applyNumberFormat="1" applyFont="1" applyFill="1" applyBorder="1" applyAlignment="1">
      <alignment horizontal="left" vertical="center" wrapText="1"/>
      <protection/>
    </xf>
    <xf numFmtId="0" fontId="45" fillId="0" borderId="19" xfId="100" applyFont="1" applyFill="1" applyBorder="1" applyAlignment="1">
      <alignment horizontal="center" vertical="center" wrapText="1"/>
      <protection/>
    </xf>
    <xf numFmtId="4" fontId="45" fillId="0" borderId="19" xfId="100" applyNumberFormat="1" applyFont="1" applyFill="1" applyBorder="1" applyAlignment="1">
      <alignment horizontal="right" vertical="center" wrapText="1"/>
      <protection/>
    </xf>
    <xf numFmtId="0" fontId="45" fillId="0" borderId="0" xfId="100" applyFont="1" applyFill="1" applyAlignment="1">
      <alignment horizontal="right" vertical="center" wrapText="1"/>
      <protection/>
    </xf>
    <xf numFmtId="16" fontId="47" fillId="0" borderId="19" xfId="100" applyNumberFormat="1" applyFont="1" applyFill="1" applyBorder="1" applyAlignment="1">
      <alignment horizontal="center" vertical="center" wrapText="1"/>
      <protection/>
    </xf>
    <xf numFmtId="4" fontId="47" fillId="0" borderId="19" xfId="100" applyNumberFormat="1" applyFont="1" applyFill="1" applyBorder="1" applyAlignment="1">
      <alignment horizontal="left" vertical="center" wrapText="1"/>
      <protection/>
    </xf>
    <xf numFmtId="0" fontId="47" fillId="0" borderId="19" xfId="100" applyFont="1" applyFill="1" applyBorder="1" applyAlignment="1">
      <alignment horizontal="center" vertical="center" wrapText="1"/>
      <protection/>
    </xf>
    <xf numFmtId="4" fontId="47" fillId="0" borderId="19" xfId="100" applyNumberFormat="1" applyFont="1" applyFill="1" applyBorder="1" applyAlignment="1">
      <alignment horizontal="center" vertical="center" wrapText="1"/>
      <protection/>
    </xf>
    <xf numFmtId="4" fontId="47" fillId="0" borderId="19" xfId="100" applyNumberFormat="1" applyFont="1" applyFill="1" applyBorder="1" applyAlignment="1">
      <alignment horizontal="right" vertical="center" wrapText="1"/>
      <protection/>
    </xf>
    <xf numFmtId="4" fontId="47" fillId="0" borderId="19" xfId="100" applyNumberFormat="1" applyFont="1" applyFill="1" applyBorder="1" applyAlignment="1">
      <alignment vertical="center" wrapText="1"/>
      <protection/>
    </xf>
    <xf numFmtId="16" fontId="40" fillId="0" borderId="19" xfId="100" applyNumberFormat="1" applyFont="1" applyFill="1" applyBorder="1" applyAlignment="1">
      <alignment horizontal="center" vertical="center" wrapText="1"/>
      <protection/>
    </xf>
    <xf numFmtId="0" fontId="40" fillId="0" borderId="19" xfId="0" applyFont="1" applyFill="1" applyBorder="1" applyAlignment="1">
      <alignment vertical="center" wrapText="1"/>
    </xf>
    <xf numFmtId="0" fontId="40" fillId="0" borderId="19" xfId="100" applyFont="1" applyFill="1" applyBorder="1" applyAlignment="1">
      <alignment horizontal="center" vertical="center" wrapText="1"/>
      <protection/>
    </xf>
    <xf numFmtId="0" fontId="40" fillId="0" borderId="19" xfId="100" applyFont="1" applyFill="1" applyBorder="1" applyAlignment="1">
      <alignment horizontal="left" vertical="center" wrapText="1"/>
      <protection/>
    </xf>
    <xf numFmtId="4" fontId="40" fillId="0" borderId="19" xfId="100" applyNumberFormat="1" applyFont="1" applyFill="1" applyBorder="1" applyAlignment="1">
      <alignment horizontal="center" vertical="center" wrapText="1"/>
      <protection/>
    </xf>
    <xf numFmtId="4" fontId="40" fillId="0" borderId="19" xfId="100" applyNumberFormat="1" applyFont="1" applyFill="1" applyBorder="1" applyAlignment="1">
      <alignment horizontal="right" vertical="center" wrapText="1"/>
      <protection/>
    </xf>
    <xf numFmtId="0" fontId="40" fillId="0" borderId="0" xfId="100" applyFont="1" applyFill="1" applyAlignment="1">
      <alignment vertical="center" wrapText="1"/>
      <protection/>
    </xf>
    <xf numFmtId="4" fontId="2" fillId="47" borderId="0" xfId="100" applyNumberFormat="1" applyFont="1" applyFill="1" applyAlignment="1">
      <alignment horizontal="right" vertical="center" wrapText="1"/>
      <protection/>
    </xf>
    <xf numFmtId="4" fontId="2" fillId="47" borderId="0" xfId="100" applyNumberFormat="1" applyFont="1" applyFill="1" applyAlignment="1">
      <alignment horizontal="left" vertical="center" wrapText="1"/>
      <protection/>
    </xf>
    <xf numFmtId="4" fontId="1" fillId="47" borderId="0" xfId="100" applyNumberFormat="1" applyFont="1" applyFill="1" applyAlignment="1">
      <alignment vertical="center" wrapText="1"/>
      <protection/>
    </xf>
    <xf numFmtId="4" fontId="2" fillId="47" borderId="0" xfId="100" applyNumberFormat="1" applyFont="1" applyFill="1" applyAlignment="1">
      <alignment vertical="center" wrapText="1"/>
      <protection/>
    </xf>
    <xf numFmtId="4" fontId="2" fillId="47" borderId="0" xfId="100" applyNumberFormat="1" applyFont="1" applyFill="1" applyBorder="1" applyAlignment="1">
      <alignment vertical="center" wrapText="1"/>
      <protection/>
    </xf>
    <xf numFmtId="4" fontId="1" fillId="47" borderId="19" xfId="100" applyNumberFormat="1" applyFont="1" applyFill="1" applyBorder="1" applyAlignment="1">
      <alignment horizontal="center" vertical="center" wrapText="1"/>
      <protection/>
    </xf>
    <xf numFmtId="4" fontId="2" fillId="47" borderId="19" xfId="100" applyNumberFormat="1" applyFont="1" applyFill="1" applyBorder="1" applyAlignment="1">
      <alignment vertical="center" wrapText="1"/>
      <protection/>
    </xf>
    <xf numFmtId="4" fontId="1" fillId="47" borderId="19" xfId="0" applyNumberFormat="1" applyFont="1" applyFill="1" applyBorder="1" applyAlignment="1">
      <alignment horizontal="left" vertical="center" wrapText="1"/>
    </xf>
    <xf numFmtId="0" fontId="1" fillId="47" borderId="19" xfId="0" applyFont="1" applyFill="1" applyBorder="1" applyAlignment="1">
      <alignment horizontal="center" vertical="center" wrapText="1"/>
    </xf>
    <xf numFmtId="4" fontId="1" fillId="47" borderId="19" xfId="100" applyNumberFormat="1" applyFont="1" applyFill="1" applyBorder="1" applyAlignment="1">
      <alignment horizontal="right" vertical="center" wrapText="1"/>
      <protection/>
    </xf>
    <xf numFmtId="4" fontId="2" fillId="47" borderId="19" xfId="100" applyNumberFormat="1" applyFont="1" applyFill="1" applyBorder="1" applyAlignment="1">
      <alignment horizontal="right" vertical="center" wrapText="1"/>
      <protection/>
    </xf>
    <xf numFmtId="4" fontId="1" fillId="47" borderId="21" xfId="100" applyNumberFormat="1" applyFont="1" applyFill="1" applyBorder="1" applyAlignment="1">
      <alignment horizontal="right" vertical="center" wrapText="1"/>
      <protection/>
    </xf>
    <xf numFmtId="4" fontId="1" fillId="47" borderId="19" xfId="0" applyNumberFormat="1" applyFont="1" applyFill="1" applyBorder="1" applyAlignment="1">
      <alignment vertical="center" wrapText="1"/>
    </xf>
    <xf numFmtId="49" fontId="1" fillId="47" borderId="19" xfId="0" applyNumberFormat="1" applyFont="1" applyFill="1" applyBorder="1" applyAlignment="1">
      <alignment horizontal="center" vertical="center" wrapText="1"/>
    </xf>
    <xf numFmtId="4" fontId="1" fillId="47" borderId="0" xfId="0" applyNumberFormat="1" applyFont="1" applyFill="1" applyAlignment="1">
      <alignment vertical="center" wrapText="1"/>
    </xf>
    <xf numFmtId="4" fontId="2" fillId="47" borderId="19" xfId="0" applyNumberFormat="1" applyFont="1" applyFill="1" applyBorder="1" applyAlignment="1">
      <alignment vertical="center" wrapText="1"/>
    </xf>
    <xf numFmtId="4" fontId="2" fillId="47" borderId="21" xfId="100" applyNumberFormat="1" applyFont="1" applyFill="1" applyBorder="1" applyAlignment="1">
      <alignment horizontal="right" vertical="center" wrapText="1"/>
      <protection/>
    </xf>
    <xf numFmtId="4" fontId="1" fillId="47" borderId="19" xfId="100" applyNumberFormat="1" applyFont="1" applyFill="1" applyBorder="1" applyAlignment="1">
      <alignment vertical="center" wrapText="1"/>
      <protection/>
    </xf>
    <xf numFmtId="49" fontId="2" fillId="47" borderId="20" xfId="100" applyNumberFormat="1" applyFont="1" applyFill="1" applyBorder="1" applyAlignment="1">
      <alignment horizontal="center" vertical="center" wrapText="1"/>
      <protection/>
    </xf>
    <xf numFmtId="49" fontId="1" fillId="47" borderId="19" xfId="100" applyNumberFormat="1" applyFont="1" applyFill="1" applyBorder="1" applyAlignment="1">
      <alignment horizontal="center" vertical="center" wrapText="1"/>
      <protection/>
    </xf>
    <xf numFmtId="0" fontId="1" fillId="47" borderId="19" xfId="0" applyFont="1" applyFill="1" applyBorder="1" applyAlignment="1">
      <alignment vertical="center" wrapText="1"/>
    </xf>
    <xf numFmtId="4" fontId="1" fillId="47" borderId="19" xfId="0" applyNumberFormat="1" applyFont="1" applyFill="1" applyBorder="1" applyAlignment="1">
      <alignment horizontal="right" vertical="center" wrapText="1"/>
    </xf>
    <xf numFmtId="0" fontId="1" fillId="47" borderId="19" xfId="0" applyFont="1" applyFill="1" applyBorder="1" applyAlignment="1">
      <alignment horizontal="left" vertical="center" wrapText="1"/>
    </xf>
    <xf numFmtId="4" fontId="2" fillId="47" borderId="19" xfId="100" applyNumberFormat="1" applyFont="1" applyFill="1" applyBorder="1" applyAlignment="1">
      <alignment horizontal="left" vertical="center" wrapText="1"/>
      <protection/>
    </xf>
    <xf numFmtId="0" fontId="2" fillId="47" borderId="19" xfId="0" applyFont="1" applyFill="1" applyBorder="1" applyAlignment="1">
      <alignment horizontal="center" vertical="center" wrapText="1"/>
    </xf>
    <xf numFmtId="4" fontId="2" fillId="47" borderId="19" xfId="100" applyNumberFormat="1" applyFont="1" applyFill="1" applyBorder="1" applyAlignment="1" quotePrefix="1">
      <alignment horizontal="right" vertical="center" wrapText="1"/>
      <protection/>
    </xf>
    <xf numFmtId="4" fontId="9" fillId="47" borderId="0" xfId="100" applyNumberFormat="1" applyFont="1" applyFill="1" applyAlignment="1">
      <alignment vertical="center" wrapText="1"/>
      <protection/>
    </xf>
    <xf numFmtId="4" fontId="1" fillId="47" borderId="19" xfId="100" applyNumberFormat="1" applyFont="1" applyFill="1" applyBorder="1" applyAlignment="1">
      <alignment horizontal="left" vertical="center" wrapText="1"/>
      <protection/>
    </xf>
    <xf numFmtId="49" fontId="9" fillId="47" borderId="19" xfId="100" applyNumberFormat="1" applyFont="1" applyFill="1" applyBorder="1" applyAlignment="1">
      <alignment horizontal="center" vertical="center" wrapText="1"/>
      <protection/>
    </xf>
    <xf numFmtId="4" fontId="9" fillId="47" borderId="19" xfId="100" applyNumberFormat="1" applyFont="1" applyFill="1" applyBorder="1" applyAlignment="1">
      <alignment vertical="center" wrapText="1"/>
      <protection/>
    </xf>
    <xf numFmtId="0" fontId="9" fillId="47" borderId="19" xfId="0" applyFont="1" applyFill="1" applyBorder="1" applyAlignment="1">
      <alignment horizontal="center" vertical="center" wrapText="1"/>
    </xf>
    <xf numFmtId="4" fontId="9" fillId="47" borderId="19" xfId="100" applyNumberFormat="1" applyFont="1" applyFill="1" applyBorder="1" applyAlignment="1">
      <alignment horizontal="right" vertical="center" wrapText="1"/>
      <protection/>
    </xf>
    <xf numFmtId="4" fontId="2" fillId="47" borderId="19" xfId="15" applyNumberFormat="1" applyFont="1" applyFill="1" applyBorder="1" applyAlignment="1">
      <alignment vertical="center" wrapText="1"/>
      <protection/>
    </xf>
    <xf numFmtId="4" fontId="1" fillId="47" borderId="19" xfId="15" applyNumberFormat="1" applyFont="1" applyFill="1" applyBorder="1" applyAlignment="1">
      <alignment vertical="center" wrapText="1"/>
      <protection/>
    </xf>
    <xf numFmtId="0" fontId="2" fillId="47" borderId="21" xfId="99" applyNumberFormat="1" applyFont="1" applyFill="1" applyBorder="1" applyAlignment="1">
      <alignment vertical="center" wrapText="1"/>
      <protection/>
    </xf>
    <xf numFmtId="49" fontId="2" fillId="47" borderId="19" xfId="100" applyNumberFormat="1" applyFont="1" applyFill="1" applyBorder="1" applyAlignment="1">
      <alignment horizontal="right" vertical="center" wrapText="1"/>
      <protection/>
    </xf>
    <xf numFmtId="165" fontId="2" fillId="47" borderId="19" xfId="100" applyNumberFormat="1" applyFont="1" applyFill="1" applyBorder="1" applyAlignment="1">
      <alignment horizontal="right" vertical="center" wrapText="1"/>
      <protection/>
    </xf>
    <xf numFmtId="49" fontId="2" fillId="47" borderId="19" xfId="100" applyNumberFormat="1" applyFont="1" applyFill="1" applyBorder="1" applyAlignment="1">
      <alignment vertical="center" wrapText="1"/>
      <protection/>
    </xf>
    <xf numFmtId="4" fontId="2" fillId="47" borderId="19" xfId="0" applyNumberFormat="1" applyFont="1" applyFill="1" applyBorder="1" applyAlignment="1">
      <alignment horizontal="right" vertical="center" wrapText="1"/>
    </xf>
    <xf numFmtId="49" fontId="2" fillId="47" borderId="0" xfId="100" applyNumberFormat="1" applyFont="1" applyFill="1" applyAlignment="1">
      <alignment vertical="center" wrapText="1"/>
      <protection/>
    </xf>
    <xf numFmtId="0" fontId="20" fillId="47" borderId="19" xfId="97" applyFont="1" applyFill="1" applyBorder="1" applyAlignment="1">
      <alignment vertical="top" wrapText="1"/>
      <protection/>
    </xf>
    <xf numFmtId="0" fontId="49" fillId="47" borderId="19" xfId="97" applyFont="1" applyFill="1" applyBorder="1" applyAlignment="1">
      <alignment vertical="top" wrapText="1"/>
      <protection/>
    </xf>
    <xf numFmtId="4" fontId="51" fillId="47" borderId="19" xfId="100" applyNumberFormat="1" applyFont="1" applyFill="1" applyBorder="1" applyAlignment="1">
      <alignment vertical="center" wrapText="1"/>
      <protection/>
    </xf>
    <xf numFmtId="4" fontId="52" fillId="47" borderId="19" xfId="100" applyNumberFormat="1" applyFont="1" applyFill="1" applyBorder="1" applyAlignment="1">
      <alignment vertical="center" wrapText="1"/>
      <protection/>
    </xf>
    <xf numFmtId="4" fontId="1" fillId="47" borderId="19" xfId="0" applyNumberFormat="1" applyFont="1" applyFill="1" applyBorder="1" applyAlignment="1">
      <alignment horizontal="center" vertical="center" wrapText="1"/>
    </xf>
    <xf numFmtId="4" fontId="2" fillId="47" borderId="19" xfId="100" applyNumberFormat="1" applyFont="1" applyFill="1" applyBorder="1" applyAlignment="1">
      <alignment horizontal="center" vertical="center" wrapText="1"/>
      <protection/>
    </xf>
    <xf numFmtId="49" fontId="2" fillId="47" borderId="19" xfId="100" applyNumberFormat="1" applyFont="1" applyFill="1" applyBorder="1" applyAlignment="1">
      <alignment horizontal="center" vertical="center" wrapText="1"/>
      <protection/>
    </xf>
    <xf numFmtId="4" fontId="2" fillId="47" borderId="19" xfId="100" applyNumberFormat="1" applyFont="1" applyFill="1" applyBorder="1" applyAlignment="1">
      <alignment horizontal="center" vertical="center" wrapText="1"/>
      <protection/>
    </xf>
    <xf numFmtId="4" fontId="2" fillId="48" borderId="19" xfId="100" applyNumberFormat="1" applyFont="1" applyFill="1" applyBorder="1" applyAlignment="1">
      <alignment horizontal="center" vertical="center" wrapText="1"/>
      <protection/>
    </xf>
    <xf numFmtId="4" fontId="2" fillId="48" borderId="19" xfId="100" applyNumberFormat="1" applyFont="1" applyFill="1" applyBorder="1" applyAlignment="1">
      <alignment vertical="center" wrapText="1"/>
      <protection/>
    </xf>
    <xf numFmtId="4" fontId="1" fillId="48" borderId="19" xfId="100" applyNumberFormat="1" applyFont="1" applyFill="1" applyBorder="1" applyAlignment="1">
      <alignment vertical="center" wrapText="1"/>
      <protection/>
    </xf>
    <xf numFmtId="4" fontId="1" fillId="47" borderId="23" xfId="0" applyNumberFormat="1" applyFont="1" applyFill="1" applyBorder="1" applyAlignment="1">
      <alignment horizontal="right" vertical="center" wrapText="1"/>
    </xf>
    <xf numFmtId="4" fontId="1" fillId="48" borderId="19" xfId="100" applyNumberFormat="1" applyFont="1" applyFill="1" applyBorder="1" applyAlignment="1">
      <alignment horizontal="right" vertical="center" wrapText="1"/>
      <protection/>
    </xf>
    <xf numFmtId="4" fontId="2" fillId="48" borderId="19" xfId="100" applyNumberFormat="1" applyFont="1" applyFill="1" applyBorder="1" applyAlignment="1">
      <alignment horizontal="right" vertical="center" wrapText="1"/>
      <protection/>
    </xf>
    <xf numFmtId="4" fontId="1" fillId="48" borderId="19" xfId="0" applyNumberFormat="1" applyFont="1" applyFill="1" applyBorder="1" applyAlignment="1">
      <alignment horizontal="right" vertical="center" wrapText="1"/>
    </xf>
    <xf numFmtId="4" fontId="2" fillId="48" borderId="19" xfId="100" applyNumberFormat="1" applyFont="1" applyFill="1" applyBorder="1" applyAlignment="1" quotePrefix="1">
      <alignment horizontal="right" vertical="center" wrapText="1"/>
      <protection/>
    </xf>
    <xf numFmtId="4" fontId="9" fillId="48" borderId="19" xfId="100" applyNumberFormat="1" applyFont="1" applyFill="1" applyBorder="1" applyAlignment="1">
      <alignment horizontal="right" vertical="center" wrapText="1"/>
      <protection/>
    </xf>
    <xf numFmtId="4" fontId="2" fillId="48" borderId="21" xfId="100" applyNumberFormat="1" applyFont="1" applyFill="1" applyBorder="1" applyAlignment="1">
      <alignment horizontal="right" vertical="center" wrapText="1"/>
      <protection/>
    </xf>
    <xf numFmtId="49" fontId="2" fillId="48" borderId="19" xfId="100" applyNumberFormat="1" applyFont="1" applyFill="1" applyBorder="1" applyAlignment="1">
      <alignment horizontal="right" vertical="center" wrapText="1"/>
      <protection/>
    </xf>
    <xf numFmtId="4" fontId="2" fillId="48" borderId="19" xfId="0" applyNumberFormat="1" applyFont="1" applyFill="1" applyBorder="1" applyAlignment="1">
      <alignment horizontal="right" vertical="center" wrapText="1"/>
    </xf>
    <xf numFmtId="4" fontId="2" fillId="48" borderId="0" xfId="100" applyNumberFormat="1" applyFont="1" applyFill="1" applyAlignment="1">
      <alignment horizontal="right" vertical="center" wrapText="1"/>
      <protection/>
    </xf>
    <xf numFmtId="49" fontId="2" fillId="47" borderId="19" xfId="100" applyNumberFormat="1" applyFont="1" applyFill="1" applyBorder="1" applyAlignment="1">
      <alignment horizontal="center" vertical="center" wrapText="1"/>
      <protection/>
    </xf>
    <xf numFmtId="4" fontId="2" fillId="47" borderId="0" xfId="100" applyNumberFormat="1" applyFont="1" applyFill="1" applyAlignment="1">
      <alignment horizontal="center" vertical="center" wrapText="1"/>
      <protection/>
    </xf>
    <xf numFmtId="3" fontId="2" fillId="47" borderId="20" xfId="100" applyNumberFormat="1" applyFont="1" applyFill="1" applyBorder="1" applyAlignment="1">
      <alignment horizontal="center" vertical="center" wrapText="1"/>
      <protection/>
    </xf>
    <xf numFmtId="3" fontId="2" fillId="47" borderId="22" xfId="100" applyNumberFormat="1" applyFont="1" applyFill="1" applyBorder="1" applyAlignment="1">
      <alignment horizontal="center" vertical="center" wrapText="1"/>
      <protection/>
    </xf>
    <xf numFmtId="3" fontId="2" fillId="47" borderId="24" xfId="100" applyNumberFormat="1" applyFont="1" applyFill="1" applyBorder="1" applyAlignment="1">
      <alignment horizontal="center" vertical="center" wrapText="1"/>
      <protection/>
    </xf>
    <xf numFmtId="3" fontId="2" fillId="47" borderId="19" xfId="100" applyNumberFormat="1" applyFont="1" applyFill="1" applyBorder="1" applyAlignment="1">
      <alignment horizontal="center" vertical="center" wrapText="1"/>
      <protection/>
    </xf>
    <xf numFmtId="3" fontId="2" fillId="48" borderId="19" xfId="100" applyNumberFormat="1" applyFont="1" applyFill="1" applyBorder="1" applyAlignment="1">
      <alignment horizontal="center" vertical="center" wrapText="1"/>
      <protection/>
    </xf>
    <xf numFmtId="3" fontId="2" fillId="47" borderId="23" xfId="100" applyNumberFormat="1" applyFont="1" applyFill="1" applyBorder="1" applyAlignment="1">
      <alignment horizontal="center" vertical="center" wrapText="1"/>
      <protection/>
    </xf>
    <xf numFmtId="3" fontId="2" fillId="47" borderId="19" xfId="0" applyNumberFormat="1" applyFont="1" applyFill="1" applyBorder="1" applyAlignment="1">
      <alignment horizontal="center" vertical="center" wrapText="1"/>
    </xf>
    <xf numFmtId="4" fontId="1" fillId="47" borderId="23" xfId="100" applyNumberFormat="1" applyFont="1" applyFill="1" applyBorder="1" applyAlignment="1">
      <alignment horizontal="right" vertical="center" wrapText="1"/>
      <protection/>
    </xf>
    <xf numFmtId="49" fontId="12" fillId="47" borderId="19" xfId="0" applyNumberFormat="1" applyFont="1" applyFill="1" applyBorder="1" applyAlignment="1">
      <alignment horizontal="center" vertical="center" wrapText="1"/>
    </xf>
    <xf numFmtId="166" fontId="12" fillId="47" borderId="19" xfId="100" applyNumberFormat="1" applyFont="1" applyFill="1" applyBorder="1" applyAlignment="1">
      <alignment horizontal="right" vertical="center" wrapText="1"/>
      <protection/>
    </xf>
    <xf numFmtId="166" fontId="1" fillId="47" borderId="19" xfId="0" applyNumberFormat="1" applyFont="1" applyFill="1" applyBorder="1" applyAlignment="1">
      <alignment vertical="center" wrapText="1"/>
    </xf>
    <xf numFmtId="166" fontId="1" fillId="47" borderId="19" xfId="100" applyNumberFormat="1" applyFont="1" applyFill="1" applyBorder="1" applyAlignment="1">
      <alignment horizontal="right" vertical="center" wrapText="1"/>
      <protection/>
    </xf>
    <xf numFmtId="166" fontId="1" fillId="48" borderId="19" xfId="0" applyNumberFormat="1" applyFont="1" applyFill="1" applyBorder="1" applyAlignment="1">
      <alignment vertical="center" wrapText="1"/>
    </xf>
    <xf numFmtId="166" fontId="1" fillId="47" borderId="21" xfId="0" applyNumberFormat="1" applyFont="1" applyFill="1" applyBorder="1" applyAlignment="1">
      <alignment vertical="center" wrapText="1"/>
    </xf>
    <xf numFmtId="166" fontId="1" fillId="47" borderId="23" xfId="0" applyNumberFormat="1" applyFont="1" applyFill="1" applyBorder="1" applyAlignment="1">
      <alignment vertical="center" wrapText="1"/>
    </xf>
    <xf numFmtId="4" fontId="12" fillId="47" borderId="19" xfId="0" applyNumberFormat="1" applyFont="1" applyFill="1" applyBorder="1" applyAlignment="1">
      <alignment vertical="center" wrapText="1"/>
    </xf>
    <xf numFmtId="4" fontId="12" fillId="47" borderId="0" xfId="0" applyNumberFormat="1" applyFont="1" applyFill="1" applyAlignment="1">
      <alignment vertical="center" wrapText="1"/>
    </xf>
    <xf numFmtId="49" fontId="1" fillId="47" borderId="0" xfId="100" applyNumberFormat="1" applyFont="1" applyFill="1" applyBorder="1" applyAlignment="1">
      <alignment horizontal="center" vertical="center" wrapText="1"/>
      <protection/>
    </xf>
    <xf numFmtId="4" fontId="1" fillId="47" borderId="0" xfId="100" applyNumberFormat="1" applyFont="1" applyFill="1" applyBorder="1" applyAlignment="1">
      <alignment horizontal="left" vertical="center" wrapText="1"/>
      <protection/>
    </xf>
    <xf numFmtId="0" fontId="1" fillId="47" borderId="0" xfId="0" applyFont="1" applyFill="1" applyBorder="1" applyAlignment="1">
      <alignment horizontal="center" vertical="center" wrapText="1"/>
    </xf>
    <xf numFmtId="4" fontId="1" fillId="47" borderId="0" xfId="100" applyNumberFormat="1" applyFont="1" applyFill="1" applyBorder="1" applyAlignment="1">
      <alignment horizontal="right" vertical="center" wrapText="1"/>
      <protection/>
    </xf>
    <xf numFmtId="4" fontId="2" fillId="47" borderId="0" xfId="100" applyNumberFormat="1" applyFont="1" applyFill="1" applyBorder="1" applyAlignment="1">
      <alignment horizontal="right" vertical="center" wrapText="1"/>
      <protection/>
    </xf>
    <xf numFmtId="4" fontId="1" fillId="48" borderId="0" xfId="100" applyNumberFormat="1" applyFont="1" applyFill="1" applyBorder="1" applyAlignment="1">
      <alignment horizontal="right" vertical="center" wrapText="1"/>
      <protection/>
    </xf>
    <xf numFmtId="4" fontId="2" fillId="47" borderId="0" xfId="0" applyNumberFormat="1" applyFont="1" applyFill="1" applyBorder="1" applyAlignment="1">
      <alignment vertical="center" wrapText="1"/>
    </xf>
    <xf numFmtId="0" fontId="2" fillId="0" borderId="0" xfId="100" applyFont="1" applyFill="1" applyBorder="1" applyAlignment="1">
      <alignment horizontal="center" vertical="center" wrapText="1"/>
      <protection/>
    </xf>
    <xf numFmtId="4" fontId="2" fillId="0" borderId="0" xfId="100" applyNumberFormat="1" applyFont="1" applyFill="1" applyAlignment="1">
      <alignment horizontal="left" vertical="center" wrapText="1"/>
      <protection/>
    </xf>
    <xf numFmtId="0" fontId="1" fillId="0" borderId="25" xfId="100" applyFont="1" applyFill="1" applyBorder="1" applyAlignment="1">
      <alignment horizontal="center" vertical="center" wrapText="1"/>
      <protection/>
    </xf>
    <xf numFmtId="0" fontId="1" fillId="0" borderId="0" xfId="100" applyFont="1" applyFill="1" applyAlignment="1">
      <alignment horizontal="left" vertical="center" wrapText="1"/>
      <protection/>
    </xf>
    <xf numFmtId="0" fontId="2" fillId="0" borderId="0" xfId="100" applyFont="1" applyFill="1" applyAlignment="1">
      <alignment horizontal="center" vertical="center" wrapText="1"/>
      <protection/>
    </xf>
    <xf numFmtId="0" fontId="2" fillId="0" borderId="0" xfId="100" applyFont="1" applyFill="1" applyAlignment="1">
      <alignment horizontal="left" vertical="center" wrapText="1"/>
      <protection/>
    </xf>
    <xf numFmtId="0" fontId="1" fillId="0" borderId="0" xfId="100" applyFont="1" applyFill="1" applyAlignment="1">
      <alignment horizontal="center" vertical="center" wrapText="1"/>
      <protection/>
    </xf>
    <xf numFmtId="4" fontId="2" fillId="0" borderId="0" xfId="100" applyNumberFormat="1" applyFont="1" applyFill="1" applyAlignment="1">
      <alignment horizontal="center" vertical="center" wrapText="1"/>
      <protection/>
    </xf>
    <xf numFmtId="49" fontId="2" fillId="47" borderId="19" xfId="100" applyNumberFormat="1" applyFont="1" applyFill="1" applyBorder="1" applyAlignment="1">
      <alignment horizontal="center" vertical="center" wrapText="1"/>
      <protection/>
    </xf>
    <xf numFmtId="4" fontId="2" fillId="47" borderId="0" xfId="100" applyNumberFormat="1" applyFont="1" applyFill="1" applyAlignment="1">
      <alignment horizontal="center" vertical="center" wrapText="1"/>
      <protection/>
    </xf>
    <xf numFmtId="4" fontId="2" fillId="47" borderId="19" xfId="100" applyNumberFormat="1" applyFont="1" applyFill="1" applyBorder="1" applyAlignment="1">
      <alignment horizontal="center" vertical="center" wrapText="1"/>
      <protection/>
    </xf>
    <xf numFmtId="4" fontId="2" fillId="47" borderId="21" xfId="100" applyNumberFormat="1" applyFont="1" applyFill="1" applyBorder="1" applyAlignment="1">
      <alignment horizontal="center" vertical="center" wrapText="1"/>
      <protection/>
    </xf>
    <xf numFmtId="4" fontId="2" fillId="47" borderId="26" xfId="100" applyNumberFormat="1" applyFont="1" applyFill="1" applyBorder="1" applyAlignment="1">
      <alignment horizontal="center" vertical="center" wrapText="1"/>
      <protection/>
    </xf>
    <xf numFmtId="4" fontId="2" fillId="47" borderId="23" xfId="100" applyNumberFormat="1" applyFont="1" applyFill="1" applyBorder="1" applyAlignment="1">
      <alignment horizontal="center" vertical="center" wrapText="1"/>
      <protection/>
    </xf>
    <xf numFmtId="4" fontId="2" fillId="47" borderId="22" xfId="100" applyNumberFormat="1" applyFont="1" applyFill="1" applyBorder="1" applyAlignment="1">
      <alignment horizontal="center" vertical="center" wrapText="1"/>
      <protection/>
    </xf>
    <xf numFmtId="4" fontId="2" fillId="47" borderId="24" xfId="100" applyNumberFormat="1" applyFont="1" applyFill="1" applyBorder="1" applyAlignment="1">
      <alignment horizontal="center" vertical="center" wrapText="1"/>
      <protection/>
    </xf>
    <xf numFmtId="4" fontId="2" fillId="47" borderId="27" xfId="100" applyNumberFormat="1" applyFont="1" applyFill="1" applyBorder="1" applyAlignment="1">
      <alignment horizontal="center" vertical="center" wrapText="1"/>
      <protection/>
    </xf>
    <xf numFmtId="4" fontId="2" fillId="47" borderId="20" xfId="100" applyNumberFormat="1" applyFont="1" applyFill="1" applyBorder="1" applyAlignment="1">
      <alignment horizontal="center" vertical="center" wrapText="1"/>
      <protection/>
    </xf>
    <xf numFmtId="4" fontId="2" fillId="47" borderId="28" xfId="100" applyNumberFormat="1" applyFont="1" applyFill="1" applyBorder="1" applyAlignment="1">
      <alignment horizontal="center" vertical="center" wrapText="1"/>
      <protection/>
    </xf>
    <xf numFmtId="4" fontId="2" fillId="47" borderId="29" xfId="100" applyNumberFormat="1" applyFont="1" applyFill="1" applyBorder="1" applyAlignment="1">
      <alignment horizontal="center" vertical="center" wrapText="1"/>
      <protection/>
    </xf>
    <xf numFmtId="4" fontId="2" fillId="47" borderId="20" xfId="0" applyNumberFormat="1" applyFont="1" applyFill="1" applyBorder="1" applyAlignment="1">
      <alignment horizontal="left" vertical="center" wrapText="1"/>
    </xf>
    <xf numFmtId="4" fontId="2" fillId="47" borderId="29" xfId="0" applyNumberFormat="1" applyFont="1" applyFill="1" applyBorder="1" applyAlignment="1">
      <alignment horizontal="left" vertical="center" wrapText="1"/>
    </xf>
    <xf numFmtId="49" fontId="1" fillId="47" borderId="0" xfId="100" applyNumberFormat="1" applyFont="1" applyFill="1" applyAlignment="1">
      <alignment horizontal="center" vertical="center" wrapText="1"/>
      <protection/>
    </xf>
    <xf numFmtId="4" fontId="2" fillId="47" borderId="0" xfId="100" applyNumberFormat="1" applyFont="1" applyFill="1" applyBorder="1" applyAlignment="1">
      <alignment horizontal="center" vertical="center" wrapText="1"/>
      <protection/>
    </xf>
  </cellXfs>
  <cellStyles count="97">
    <cellStyle name="Normal" xfId="0"/>
    <cellStyle name="0,0&#13;&#10;NA&#13;&#10;" xfId="15"/>
    <cellStyle name="0,0&#13;&#10;NA&#13;&#10;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Акцент1" xfId="23"/>
    <cellStyle name="20% - Акцент2" xfId="24"/>
    <cellStyle name="20% - Акцент3" xfId="25"/>
    <cellStyle name="20% - Акцент4" xfId="26"/>
    <cellStyle name="20% - Акцент5" xfId="27"/>
    <cellStyle name="20% - Акцент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Акцент1" xfId="35"/>
    <cellStyle name="40% - Акцент2" xfId="36"/>
    <cellStyle name="40% - Акцент3" xfId="37"/>
    <cellStyle name="40% - Акцент4" xfId="38"/>
    <cellStyle name="40% - Акцент5" xfId="39"/>
    <cellStyle name="40% - Акцент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Акцент1" xfId="47"/>
    <cellStyle name="60% - Акцент2" xfId="48"/>
    <cellStyle name="60% - Акцент3" xfId="49"/>
    <cellStyle name="60% - Акцент4" xfId="50"/>
    <cellStyle name="60% - Акцент5" xfId="51"/>
    <cellStyle name="60% - Акцент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Calculation" xfId="60"/>
    <cellStyle name="Check Cel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3" xfId="98"/>
    <cellStyle name="Обычный_Отчет за 2014 год" xfId="99"/>
    <cellStyle name="Обычный_Тарифная смета 2010-2012 г.г. для директора  пояснит зап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3;&#1086;&#1074;&#1072;&#1103;%20&#1087;&#1072;&#1087;&#1082;&#1072;%20&#1057;\&#1044;&#1080;&#1089;&#1082;%20D\&#1052;&#1056;&#1069;&#1058;%202012%20&#1075;&#1086;&#1076;&#1072;\&#1041;&#1102;&#1076;&#1078;&#1077;&#1090;%202012%20&#1075;\&#1048;&#1089;&#1087;&#1086;&#1083;&#1085;&#1077;&#1085;&#1080;&#1077;%20&#1041;&#1070;&#1044;&#1046;&#1045;&#1058;&#1072;%20%202012%20&#1075;&#1086;&#1076;&#1072;%20%2010.09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EO-2\&#1052;&#1056;&#1069;&#1058;%202017\&#1041;&#1070;&#1044;&#1046;&#1045;&#1058;%202017\&#1058;&#1072;&#1088;&#1080;&#1092;&#1085;&#1072;&#1103;%20&#1089;&#1084;&#1077;&#1090;&#1072;%20&#1085;&#1072;%202017%20&#1075;&#1086;&#1076;%2020.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  <sheetName val="Приход денежных средств"/>
      <sheetName val="фот"/>
      <sheetName val="смета"/>
      <sheetName val="Прибыль"/>
      <sheetName val="План закупок"/>
      <sheetName val="Поверка 2012 "/>
      <sheetName val="ХН и ТП в бюджет"/>
      <sheetName val="кредит"/>
      <sheetName val="ХН и ТП тар смета"/>
      <sheetName val="Ком услуги в тариф смету"/>
      <sheetName val="Сумма вознагражд"/>
      <sheetName val="Охрана труда"/>
      <sheetName val="Инвестпрограмма"/>
      <sheetName val="Иная деятельность"/>
      <sheetName val="КТж"/>
      <sheetName val="Коммунальные"/>
      <sheetName val="Объем услуг"/>
      <sheetName val="План закупа"/>
      <sheetName val="КР"/>
      <sheetName val="ФОТ по АД и КД"/>
      <sheetName val="усл связи"/>
      <sheetName val="КР СМ"/>
      <sheetName val="Расходные для выч тех"/>
      <sheetName val="СДТУ"/>
      <sheetName val="Реестр договоров"/>
      <sheetName val="Подготовка кадров"/>
      <sheetName val="Командиров"/>
      <sheetName val="ГСМ скорректирован"/>
      <sheetName val="ГСМ"/>
      <sheetName val="Лист5"/>
    </sheetNames>
    <sheetDataSet>
      <sheetData sheetId="1">
        <row r="45">
          <cell r="C4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вариант"/>
      <sheetName val="азамат"/>
      <sheetName val="2 вариант"/>
      <sheetName val="3 вариант"/>
      <sheetName val="шеф корректирр"/>
      <sheetName val="БЮДЖЕТ"/>
      <sheetName val="Тарифная смета"/>
      <sheetName val="Вознаграждение"/>
      <sheetName val="Приход ден  средств"/>
      <sheetName val="Налоги"/>
      <sheetName val="Ком услуги"/>
      <sheetName val="Материалы"/>
      <sheetName val="КР"/>
      <sheetName val="ФОТ"/>
      <sheetName val="ГСМ"/>
      <sheetName val="План закупа"/>
      <sheetName val="ТП и ХН"/>
      <sheetName val="Расчет прибыли"/>
      <sheetName val="ОИТ"/>
      <sheetName val="Иная д"/>
      <sheetName val="Объемы услуг"/>
      <sheetName val="шеф коррект. укороч"/>
    </sheetNames>
    <sheetDataSet>
      <sheetData sheetId="5">
        <row r="112">
          <cell r="J112">
            <v>3569.91</v>
          </cell>
        </row>
      </sheetData>
      <sheetData sheetId="7">
        <row r="25">
          <cell r="E25">
            <v>3312.28905</v>
          </cell>
          <cell r="F25">
            <v>3036.26497</v>
          </cell>
          <cell r="G25">
            <v>2760.24088</v>
          </cell>
          <cell r="H25">
            <v>2484.21679</v>
          </cell>
          <cell r="I25">
            <v>2208.1927</v>
          </cell>
        </row>
      </sheetData>
      <sheetData sheetId="9">
        <row r="6">
          <cell r="E6">
            <v>0</v>
          </cell>
          <cell r="F6">
            <v>17822</v>
          </cell>
          <cell r="G6">
            <v>1193</v>
          </cell>
          <cell r="H6">
            <v>0</v>
          </cell>
        </row>
      </sheetData>
      <sheetData sheetId="10">
        <row r="6">
          <cell r="D6">
            <v>6029.3802000000005</v>
          </cell>
          <cell r="E6">
            <v>5859.0181</v>
          </cell>
          <cell r="F6">
            <v>6158.773775</v>
          </cell>
          <cell r="G6">
            <v>1557.5770499999999</v>
          </cell>
          <cell r="H6">
            <v>0</v>
          </cell>
          <cell r="I6">
            <v>0</v>
          </cell>
        </row>
        <row r="11">
          <cell r="D11">
            <v>152.96923999999999</v>
          </cell>
          <cell r="E11">
            <v>96.75715</v>
          </cell>
          <cell r="F11">
            <v>184.25799</v>
          </cell>
          <cell r="G11">
            <v>256.30127000000005</v>
          </cell>
          <cell r="H11">
            <v>140.34012</v>
          </cell>
          <cell r="I11">
            <v>96.53942</v>
          </cell>
        </row>
        <row r="33">
          <cell r="D33">
            <v>54.762167999999996</v>
          </cell>
          <cell r="E33">
            <v>54.762167999999996</v>
          </cell>
          <cell r="F33">
            <v>54.762167999999996</v>
          </cell>
          <cell r="G33">
            <v>54.762167999999996</v>
          </cell>
          <cell r="H33">
            <v>54.762167999999996</v>
          </cell>
          <cell r="I33">
            <v>54.762167999999996</v>
          </cell>
        </row>
      </sheetData>
      <sheetData sheetId="11">
        <row r="16">
          <cell r="C16">
            <v>2910.9330410000002</v>
          </cell>
          <cell r="D16">
            <v>6526.543130999999</v>
          </cell>
          <cell r="E16">
            <v>6545.859431</v>
          </cell>
        </row>
      </sheetData>
      <sheetData sheetId="12">
        <row r="30">
          <cell r="B30">
            <v>1665.15171312</v>
          </cell>
          <cell r="C30">
            <v>2122.65689328</v>
          </cell>
          <cell r="D30">
            <v>1999.6880971200003</v>
          </cell>
          <cell r="E30">
            <v>2479.04013504</v>
          </cell>
        </row>
      </sheetData>
      <sheetData sheetId="13">
        <row r="7">
          <cell r="F7">
            <v>78722.445</v>
          </cell>
          <cell r="G7">
            <v>78722.445</v>
          </cell>
          <cell r="H7">
            <v>78972.445</v>
          </cell>
          <cell r="I7">
            <v>82951.06725</v>
          </cell>
        </row>
        <row r="14">
          <cell r="F14">
            <v>7793.522055</v>
          </cell>
          <cell r="G14">
            <v>7793.522055</v>
          </cell>
          <cell r="H14">
            <v>7818.272055</v>
          </cell>
          <cell r="I14">
            <v>8212.15565775</v>
          </cell>
        </row>
        <row r="22">
          <cell r="F22">
            <v>10140.249999999998</v>
          </cell>
          <cell r="G22">
            <v>10140.249999999998</v>
          </cell>
          <cell r="H22">
            <v>10140.249999999998</v>
          </cell>
          <cell r="I22">
            <v>10599.7555</v>
          </cell>
        </row>
        <row r="26">
          <cell r="F26">
            <v>1003.8847499999998</v>
          </cell>
          <cell r="G26">
            <v>1003.8847499999998</v>
          </cell>
          <cell r="H26">
            <v>1003.8847499999998</v>
          </cell>
          <cell r="I26">
            <v>1049.3757945</v>
          </cell>
        </row>
      </sheetData>
      <sheetData sheetId="14">
        <row r="18">
          <cell r="C18">
            <v>814000</v>
          </cell>
          <cell r="D18">
            <v>870800</v>
          </cell>
          <cell r="E18">
            <v>510900</v>
          </cell>
          <cell r="F18">
            <v>1441200</v>
          </cell>
          <cell r="G18">
            <v>1182400</v>
          </cell>
          <cell r="H18">
            <v>1082700</v>
          </cell>
        </row>
        <row r="35">
          <cell r="C35">
            <v>2618710.6803</v>
          </cell>
          <cell r="D35">
            <v>2824798.4688000004</v>
          </cell>
          <cell r="E35">
            <v>3365211.42496</v>
          </cell>
          <cell r="F35">
            <v>3767837.423240001</v>
          </cell>
        </row>
      </sheetData>
      <sheetData sheetId="15">
        <row r="1974">
          <cell r="H1974">
            <v>0</v>
          </cell>
          <cell r="J1974">
            <v>323500</v>
          </cell>
          <cell r="L1974">
            <v>1499540</v>
          </cell>
          <cell r="N1974">
            <v>0</v>
          </cell>
        </row>
        <row r="1987">
          <cell r="P1987">
            <v>689500</v>
          </cell>
        </row>
      </sheetData>
      <sheetData sheetId="16">
        <row r="18">
          <cell r="E18">
            <v>60503.36097208523</v>
          </cell>
          <cell r="F18">
            <v>51462.375616824625</v>
          </cell>
          <cell r="G18">
            <v>52593.41683917242</v>
          </cell>
          <cell r="H18">
            <v>33226.17201234688</v>
          </cell>
          <cell r="J18">
            <v>24721.32957417321</v>
          </cell>
        </row>
        <row r="35">
          <cell r="E35">
            <v>6566.725996</v>
          </cell>
          <cell r="F35">
            <v>6288.8619260000005</v>
          </cell>
          <cell r="G35">
            <v>5393.3537479999995</v>
          </cell>
          <cell r="H35">
            <v>2091.2987880000005</v>
          </cell>
        </row>
      </sheetData>
      <sheetData sheetId="18">
        <row r="11">
          <cell r="B11">
            <v>201000</v>
          </cell>
          <cell r="C11">
            <v>198900</v>
          </cell>
          <cell r="D11">
            <v>206500</v>
          </cell>
          <cell r="E11">
            <v>153250</v>
          </cell>
          <cell r="F11">
            <v>178350</v>
          </cell>
          <cell r="G11">
            <v>150200</v>
          </cell>
        </row>
      </sheetData>
      <sheetData sheetId="20">
        <row r="19">
          <cell r="E19">
            <v>124961.48700000001</v>
          </cell>
          <cell r="F19">
            <v>112087.15500000001</v>
          </cell>
          <cell r="G19">
            <v>113658.20300000001</v>
          </cell>
          <cell r="H19">
            <v>97856.07400000001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5"/>
  <sheetViews>
    <sheetView showZeros="0" zoomScale="75" zoomScaleNormal="75" zoomScalePageLayoutView="0" workbookViewId="0" topLeftCell="A1">
      <pane xSplit="5" ySplit="7" topLeftCell="N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U9" sqref="U9"/>
    </sheetView>
  </sheetViews>
  <sheetFormatPr defaultColWidth="9.00390625" defaultRowHeight="12.75"/>
  <cols>
    <col min="1" max="1" width="6.875" style="2" customWidth="1"/>
    <col min="2" max="2" width="51.625" style="3" customWidth="1"/>
    <col min="3" max="3" width="15.00390625" style="4" customWidth="1"/>
    <col min="4" max="4" width="33.625" style="4" hidden="1" customWidth="1"/>
    <col min="5" max="5" width="15.00390625" style="4" hidden="1" customWidth="1"/>
    <col min="6" max="6" width="12.875" style="4" customWidth="1"/>
    <col min="7" max="7" width="14.375" style="4" customWidth="1"/>
    <col min="8" max="8" width="12.875" style="4" hidden="1" customWidth="1"/>
    <col min="9" max="10" width="14.375" style="2" customWidth="1"/>
    <col min="11" max="11" width="14.625" style="2" customWidth="1"/>
    <col min="12" max="12" width="14.00390625" style="2" customWidth="1"/>
    <col min="13" max="13" width="14.375" style="2" customWidth="1"/>
    <col min="14" max="14" width="14.625" style="2" customWidth="1"/>
    <col min="15" max="15" width="13.625" style="2" customWidth="1"/>
    <col min="16" max="16" width="13.00390625" style="2" customWidth="1"/>
    <col min="17" max="17" width="14.625" style="2" customWidth="1"/>
    <col min="18" max="18" width="13.375" style="2" customWidth="1"/>
    <col min="19" max="19" width="13.875" style="2" customWidth="1"/>
    <col min="20" max="20" width="13.625" style="2" customWidth="1"/>
    <col min="21" max="21" width="14.875" style="2" customWidth="1"/>
    <col min="22" max="22" width="13.625" style="5" customWidth="1"/>
    <col min="23" max="23" width="14.625" style="5" customWidth="1"/>
    <col min="24" max="25" width="14.875" style="2" hidden="1" customWidth="1"/>
    <col min="26" max="28" width="9.125" style="2" customWidth="1"/>
    <col min="29" max="29" width="13.00390625" style="2" customWidth="1"/>
    <col min="30" max="30" width="13.625" style="2" customWidth="1"/>
    <col min="31" max="16384" width="9.125" style="2" customWidth="1"/>
  </cols>
  <sheetData>
    <row r="1" spans="2:23" ht="15.75">
      <c r="B1" s="73" t="s">
        <v>290</v>
      </c>
      <c r="U1" s="242" t="s">
        <v>295</v>
      </c>
      <c r="V1" s="242"/>
      <c r="W1" s="242"/>
    </row>
    <row r="2" spans="2:23" ht="31.5">
      <c r="B2" s="3" t="s">
        <v>291</v>
      </c>
      <c r="U2" s="243" t="s">
        <v>51</v>
      </c>
      <c r="V2" s="243"/>
      <c r="W2" s="243"/>
    </row>
    <row r="3" spans="2:23" ht="15.75">
      <c r="B3" s="3" t="s">
        <v>292</v>
      </c>
      <c r="I3" s="71"/>
      <c r="J3" s="71"/>
      <c r="M3" s="5"/>
      <c r="Q3" s="5"/>
      <c r="S3" s="5"/>
      <c r="U3" s="244" t="s">
        <v>293</v>
      </c>
      <c r="V3" s="244"/>
      <c r="W3" s="244"/>
    </row>
    <row r="4" spans="7:23" ht="15.75">
      <c r="G4" s="54"/>
      <c r="I4" s="71"/>
      <c r="J4" s="71"/>
      <c r="M4" s="5"/>
      <c r="N4" s="5"/>
      <c r="Q4" s="5"/>
      <c r="S4" s="5"/>
      <c r="U4" s="3"/>
      <c r="V4" s="3"/>
      <c r="W4" s="3"/>
    </row>
    <row r="5" spans="1:23" ht="15.75">
      <c r="A5" s="245" t="s">
        <v>323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</row>
    <row r="6" spans="1:23" ht="15.75">
      <c r="A6" s="241" t="s">
        <v>324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</row>
    <row r="7" spans="1:23" ht="86.25" customHeight="1">
      <c r="A7" s="55" t="s">
        <v>262</v>
      </c>
      <c r="B7" s="55" t="s">
        <v>263</v>
      </c>
      <c r="C7" s="103" t="s">
        <v>264</v>
      </c>
      <c r="D7" s="6" t="s">
        <v>265</v>
      </c>
      <c r="E7" s="6" t="s">
        <v>266</v>
      </c>
      <c r="F7" s="55" t="s">
        <v>325</v>
      </c>
      <c r="G7" s="55" t="s">
        <v>326</v>
      </c>
      <c r="H7" s="116" t="s">
        <v>327</v>
      </c>
      <c r="I7" s="90" t="s">
        <v>256</v>
      </c>
      <c r="J7" s="90" t="s">
        <v>257</v>
      </c>
      <c r="K7" s="90" t="s">
        <v>258</v>
      </c>
      <c r="L7" s="90" t="s">
        <v>259</v>
      </c>
      <c r="M7" s="90" t="s">
        <v>223</v>
      </c>
      <c r="N7" s="90" t="s">
        <v>224</v>
      </c>
      <c r="O7" s="90" t="s">
        <v>225</v>
      </c>
      <c r="P7" s="7" t="s">
        <v>226</v>
      </c>
      <c r="Q7" s="7" t="s">
        <v>227</v>
      </c>
      <c r="R7" s="7" t="s">
        <v>228</v>
      </c>
      <c r="S7" s="7" t="s">
        <v>229</v>
      </c>
      <c r="T7" s="7" t="s">
        <v>230</v>
      </c>
      <c r="U7" s="88" t="s">
        <v>267</v>
      </c>
      <c r="V7" s="56" t="s">
        <v>371</v>
      </c>
      <c r="W7" s="56" t="s">
        <v>372</v>
      </c>
    </row>
    <row r="8" spans="1:23" ht="15.75">
      <c r="A8" s="10"/>
      <c r="B8" s="11" t="s">
        <v>392</v>
      </c>
      <c r="C8" s="6"/>
      <c r="D8" s="6"/>
      <c r="E8" s="6"/>
      <c r="F8" s="12"/>
      <c r="G8" s="12"/>
      <c r="H8" s="12">
        <v>6870.64</v>
      </c>
      <c r="I8" s="13">
        <v>1664.701</v>
      </c>
      <c r="J8" s="13" t="e">
        <f aca="true" t="shared" si="0" ref="J8:T8">I19</f>
        <v>#REF!</v>
      </c>
      <c r="K8" s="13" t="e">
        <f t="shared" si="0"/>
        <v>#REF!</v>
      </c>
      <c r="L8" s="13" t="e">
        <f t="shared" si="0"/>
        <v>#REF!</v>
      </c>
      <c r="M8" s="13" t="e">
        <f t="shared" si="0"/>
        <v>#REF!</v>
      </c>
      <c r="N8" s="13" t="e">
        <f t="shared" si="0"/>
        <v>#REF!</v>
      </c>
      <c r="O8" s="13" t="e">
        <f t="shared" si="0"/>
        <v>#REF!</v>
      </c>
      <c r="P8" s="13" t="e">
        <f t="shared" si="0"/>
        <v>#REF!</v>
      </c>
      <c r="Q8" s="13" t="e">
        <f t="shared" si="0"/>
        <v>#REF!</v>
      </c>
      <c r="R8" s="13" t="e">
        <f t="shared" si="0"/>
        <v>#REF!</v>
      </c>
      <c r="S8" s="13" t="e">
        <f t="shared" si="0"/>
        <v>#REF!</v>
      </c>
      <c r="T8" s="13" t="e">
        <f t="shared" si="0"/>
        <v>#REF!</v>
      </c>
      <c r="U8" s="13">
        <f>I8</f>
        <v>1664.701</v>
      </c>
      <c r="V8" s="15"/>
      <c r="W8" s="15"/>
    </row>
    <row r="9" spans="1:23" ht="15.75">
      <c r="A9" s="10" t="s">
        <v>393</v>
      </c>
      <c r="B9" s="11" t="s">
        <v>394</v>
      </c>
      <c r="C9" s="6" t="s">
        <v>395</v>
      </c>
      <c r="D9" s="6"/>
      <c r="E9" s="6"/>
      <c r="F9" s="17"/>
      <c r="G9" s="17"/>
      <c r="H9" s="17">
        <v>1323795.9877</v>
      </c>
      <c r="I9" s="17" t="e">
        <f>#REF!</f>
        <v>#REF!</v>
      </c>
      <c r="J9" s="17" t="e">
        <f>#REF!</f>
        <v>#REF!</v>
      </c>
      <c r="K9" s="17" t="e">
        <f>#REF!</f>
        <v>#REF!</v>
      </c>
      <c r="L9" s="17" t="e">
        <f>#REF!</f>
        <v>#REF!</v>
      </c>
      <c r="M9" s="17" t="e">
        <f>#REF!</f>
        <v>#REF!</v>
      </c>
      <c r="N9" s="17" t="e">
        <f>#REF!</f>
        <v>#REF!</v>
      </c>
      <c r="O9" s="17" t="e">
        <f>#REF!</f>
        <v>#REF!</v>
      </c>
      <c r="P9" s="17" t="e">
        <f>#REF!</f>
        <v>#REF!</v>
      </c>
      <c r="Q9" s="17" t="e">
        <f>#REF!</f>
        <v>#REF!</v>
      </c>
      <c r="R9" s="17" t="e">
        <f>#REF!</f>
        <v>#REF!</v>
      </c>
      <c r="S9" s="17" t="e">
        <f>#REF!</f>
        <v>#REF!</v>
      </c>
      <c r="T9" s="17" t="e">
        <f>#REF!</f>
        <v>#REF!</v>
      </c>
      <c r="U9" s="17" t="e">
        <f>SUM(I9:T9)</f>
        <v>#REF!</v>
      </c>
      <c r="V9" s="15"/>
      <c r="W9" s="15"/>
    </row>
    <row r="10" spans="1:23" ht="15.75">
      <c r="A10" s="10"/>
      <c r="B10" s="11" t="s">
        <v>396</v>
      </c>
      <c r="C10" s="6" t="s">
        <v>397</v>
      </c>
      <c r="D10" s="6"/>
      <c r="E10" s="6"/>
      <c r="F10" s="12"/>
      <c r="G10" s="12"/>
      <c r="H10" s="99">
        <v>1.736</v>
      </c>
      <c r="I10" s="99">
        <v>1.891</v>
      </c>
      <c r="J10" s="99">
        <v>1.891</v>
      </c>
      <c r="K10" s="99">
        <v>1.891</v>
      </c>
      <c r="L10" s="99">
        <v>1.891</v>
      </c>
      <c r="M10" s="99">
        <v>1.891</v>
      </c>
      <c r="N10" s="99">
        <v>1.891</v>
      </c>
      <c r="O10" s="99">
        <v>1.891</v>
      </c>
      <c r="P10" s="99">
        <v>1.891</v>
      </c>
      <c r="Q10" s="99">
        <v>1.891</v>
      </c>
      <c r="R10" s="99">
        <v>1.891</v>
      </c>
      <c r="S10" s="99">
        <v>1.891</v>
      </c>
      <c r="T10" s="99">
        <v>1.891</v>
      </c>
      <c r="U10" s="99">
        <v>1.891</v>
      </c>
      <c r="V10" s="15"/>
      <c r="W10" s="15"/>
    </row>
    <row r="11" spans="1:23" ht="15.75">
      <c r="A11" s="10" t="s">
        <v>398</v>
      </c>
      <c r="B11" s="11" t="s">
        <v>248</v>
      </c>
      <c r="C11" s="6" t="s">
        <v>249</v>
      </c>
      <c r="D11" s="6"/>
      <c r="E11" s="6"/>
      <c r="F11" s="17" t="e">
        <f>F13+F17+F18</f>
        <v>#REF!</v>
      </c>
      <c r="G11" s="17" t="e">
        <f>G13+G17+G18</f>
        <v>#REF!</v>
      </c>
      <c r="H11" s="17">
        <v>2752030.341169063</v>
      </c>
      <c r="I11" s="17" t="e">
        <f>I15+I17+I18</f>
        <v>#REF!</v>
      </c>
      <c r="J11" s="17" t="e">
        <f aca="true" t="shared" si="1" ref="J11:T11">J15+J17+J18</f>
        <v>#REF!</v>
      </c>
      <c r="K11" s="17" t="e">
        <f t="shared" si="1"/>
        <v>#REF!</v>
      </c>
      <c r="L11" s="17" t="e">
        <f t="shared" si="1"/>
        <v>#REF!</v>
      </c>
      <c r="M11" s="17" t="e">
        <f t="shared" si="1"/>
        <v>#REF!</v>
      </c>
      <c r="N11" s="17" t="e">
        <f t="shared" si="1"/>
        <v>#REF!</v>
      </c>
      <c r="O11" s="17" t="e">
        <f t="shared" si="1"/>
        <v>#REF!</v>
      </c>
      <c r="P11" s="17" t="e">
        <f t="shared" si="1"/>
        <v>#REF!</v>
      </c>
      <c r="Q11" s="17" t="e">
        <f t="shared" si="1"/>
        <v>#REF!</v>
      </c>
      <c r="R11" s="17" t="e">
        <f t="shared" si="1"/>
        <v>#REF!</v>
      </c>
      <c r="S11" s="17" t="e">
        <f t="shared" si="1"/>
        <v>#REF!</v>
      </c>
      <c r="T11" s="17" t="e">
        <f t="shared" si="1"/>
        <v>#REF!</v>
      </c>
      <c r="U11" s="17" t="e">
        <f>U15+U17+U18</f>
        <v>#REF!</v>
      </c>
      <c r="V11" s="17" t="e">
        <f>V15+V17+V18</f>
        <v>#REF!</v>
      </c>
      <c r="W11" s="17" t="e">
        <f>W15+W17+W18</f>
        <v>#REF!</v>
      </c>
    </row>
    <row r="12" spans="1:23" ht="15.75">
      <c r="A12" s="9"/>
      <c r="B12" s="18" t="s">
        <v>250</v>
      </c>
      <c r="C12" s="19"/>
      <c r="D12" s="19"/>
      <c r="E12" s="19"/>
      <c r="F12" s="8"/>
      <c r="G12" s="8"/>
      <c r="H12" s="8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7"/>
      <c r="V12" s="15"/>
      <c r="W12" s="15"/>
    </row>
    <row r="13" spans="1:23" ht="31.5">
      <c r="A13" s="9"/>
      <c r="B13" s="18" t="s">
        <v>251</v>
      </c>
      <c r="C13" s="19" t="s">
        <v>249</v>
      </c>
      <c r="D13" s="19"/>
      <c r="E13" s="19"/>
      <c r="F13" s="13" t="e">
        <f>F15+F16</f>
        <v>#REF!</v>
      </c>
      <c r="G13" s="13" t="e">
        <f>G15+G16</f>
        <v>#REF!</v>
      </c>
      <c r="H13" s="13">
        <v>2648349.119881985</v>
      </c>
      <c r="I13" s="13" t="e">
        <f>I15+I16</f>
        <v>#REF!</v>
      </c>
      <c r="J13" s="13" t="e">
        <f aca="true" t="shared" si="2" ref="J13:T13">J15+J16</f>
        <v>#REF!</v>
      </c>
      <c r="K13" s="13" t="e">
        <f t="shared" si="2"/>
        <v>#REF!</v>
      </c>
      <c r="L13" s="13" t="e">
        <f t="shared" si="2"/>
        <v>#REF!</v>
      </c>
      <c r="M13" s="13" t="e">
        <f t="shared" si="2"/>
        <v>#REF!</v>
      </c>
      <c r="N13" s="13" t="e">
        <f t="shared" si="2"/>
        <v>#REF!</v>
      </c>
      <c r="O13" s="13" t="e">
        <f t="shared" si="2"/>
        <v>#REF!</v>
      </c>
      <c r="P13" s="13" t="e">
        <f t="shared" si="2"/>
        <v>#REF!</v>
      </c>
      <c r="Q13" s="13" t="e">
        <f t="shared" si="2"/>
        <v>#REF!</v>
      </c>
      <c r="R13" s="13" t="e">
        <f t="shared" si="2"/>
        <v>#REF!</v>
      </c>
      <c r="S13" s="13" t="e">
        <f t="shared" si="2"/>
        <v>#REF!</v>
      </c>
      <c r="T13" s="13" t="e">
        <f t="shared" si="2"/>
        <v>#REF!</v>
      </c>
      <c r="U13" s="13" t="e">
        <f aca="true" t="shared" si="3" ref="U13:U18">SUM(I13:T13)</f>
        <v>#REF!</v>
      </c>
      <c r="V13" s="15" t="e">
        <f>#REF!</f>
        <v>#REF!</v>
      </c>
      <c r="W13" s="15" t="e">
        <f>#REF!</f>
        <v>#REF!</v>
      </c>
    </row>
    <row r="14" spans="1:23" ht="15.75">
      <c r="A14" s="9"/>
      <c r="B14" s="18" t="s">
        <v>250</v>
      </c>
      <c r="C14" s="19"/>
      <c r="D14" s="19"/>
      <c r="E14" s="19"/>
      <c r="F14" s="8"/>
      <c r="G14" s="8"/>
      <c r="H14" s="8">
        <v>0</v>
      </c>
      <c r="I14" s="13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3">
        <f t="shared" si="3"/>
        <v>0</v>
      </c>
      <c r="V14" s="15"/>
      <c r="W14" s="15"/>
    </row>
    <row r="15" spans="1:23" ht="15.75">
      <c r="A15" s="9"/>
      <c r="B15" s="18" t="s">
        <v>390</v>
      </c>
      <c r="C15" s="19" t="s">
        <v>249</v>
      </c>
      <c r="D15" s="19"/>
      <c r="E15" s="19"/>
      <c r="F15" s="13" t="e">
        <f>#REF!</f>
        <v>#REF!</v>
      </c>
      <c r="G15" s="13" t="e">
        <f>#REF!</f>
        <v>#REF!</v>
      </c>
      <c r="H15" s="13">
        <v>2648349.119881985</v>
      </c>
      <c r="I15" s="13" t="e">
        <f>#REF!+23000</f>
        <v>#REF!</v>
      </c>
      <c r="J15" s="13" t="e">
        <f>#REF!-23000</f>
        <v>#REF!</v>
      </c>
      <c r="K15" s="13" t="e">
        <f>#REF!</f>
        <v>#REF!</v>
      </c>
      <c r="L15" s="13" t="e">
        <f>#REF!</f>
        <v>#REF!</v>
      </c>
      <c r="M15" s="13" t="e">
        <f>#REF!</f>
        <v>#REF!</v>
      </c>
      <c r="N15" s="13" t="e">
        <f>#REF!</f>
        <v>#REF!</v>
      </c>
      <c r="O15" s="13" t="e">
        <f>#REF!</f>
        <v>#REF!</v>
      </c>
      <c r="P15" s="13" t="e">
        <f>#REF!</f>
        <v>#REF!</v>
      </c>
      <c r="Q15" s="13" t="e">
        <f>#REF!</f>
        <v>#REF!</v>
      </c>
      <c r="R15" s="13" t="e">
        <f>#REF!</f>
        <v>#REF!</v>
      </c>
      <c r="S15" s="13" t="e">
        <f>#REF!</f>
        <v>#REF!</v>
      </c>
      <c r="T15" s="13" t="e">
        <f>#REF!</f>
        <v>#REF!</v>
      </c>
      <c r="U15" s="13" t="e">
        <f t="shared" si="3"/>
        <v>#REF!</v>
      </c>
      <c r="V15" s="15" t="e">
        <f>#REF!</f>
        <v>#REF!</v>
      </c>
      <c r="W15" s="15" t="e">
        <f>#REF!</f>
        <v>#REF!</v>
      </c>
    </row>
    <row r="16" spans="1:23" s="25" customFormat="1" ht="15.75">
      <c r="A16" s="20"/>
      <c r="B16" s="21" t="s">
        <v>391</v>
      </c>
      <c r="C16" s="22" t="s">
        <v>249</v>
      </c>
      <c r="D16" s="22"/>
      <c r="E16" s="22"/>
      <c r="F16" s="23" t="e">
        <f>#REF!</f>
        <v>#REF!</v>
      </c>
      <c r="G16" s="23">
        <f>'[1]Приход денежных средств'!C45</f>
        <v>0</v>
      </c>
      <c r="H16" s="23"/>
      <c r="I16" s="23" t="e">
        <f>#REF!</f>
        <v>#REF!</v>
      </c>
      <c r="J16" s="23" t="e">
        <f>#REF!</f>
        <v>#REF!</v>
      </c>
      <c r="K16" s="23" t="e">
        <f>#REF!</f>
        <v>#REF!</v>
      </c>
      <c r="L16" s="23" t="e">
        <f>#REF!</f>
        <v>#REF!</v>
      </c>
      <c r="M16" s="23" t="e">
        <f>#REF!</f>
        <v>#REF!</v>
      </c>
      <c r="N16" s="23" t="e">
        <f>#REF!</f>
        <v>#REF!</v>
      </c>
      <c r="O16" s="23" t="e">
        <f>#REF!</f>
        <v>#REF!</v>
      </c>
      <c r="P16" s="23" t="e">
        <f>#REF!</f>
        <v>#REF!</v>
      </c>
      <c r="Q16" s="23" t="e">
        <f>#REF!</f>
        <v>#REF!</v>
      </c>
      <c r="R16" s="23" t="e">
        <f>#REF!</f>
        <v>#REF!</v>
      </c>
      <c r="S16" s="23" t="e">
        <f>#REF!</f>
        <v>#REF!</v>
      </c>
      <c r="T16" s="23" t="e">
        <f>#REF!</f>
        <v>#REF!</v>
      </c>
      <c r="U16" s="23" t="e">
        <f t="shared" si="3"/>
        <v>#REF!</v>
      </c>
      <c r="V16" s="15"/>
      <c r="W16" s="24"/>
    </row>
    <row r="17" spans="1:23" ht="31.5">
      <c r="A17" s="9"/>
      <c r="B17" s="18" t="s">
        <v>1</v>
      </c>
      <c r="C17" s="19" t="s">
        <v>249</v>
      </c>
      <c r="D17" s="19"/>
      <c r="E17" s="19"/>
      <c r="F17" s="13">
        <v>4129.86</v>
      </c>
      <c r="G17" s="13"/>
      <c r="H17" s="13">
        <v>100547.38028707808</v>
      </c>
      <c r="I17" s="13" t="e">
        <f>#REF!*1.12</f>
        <v>#REF!</v>
      </c>
      <c r="J17" s="13" t="e">
        <f>#REF!*1.12</f>
        <v>#REF!</v>
      </c>
      <c r="K17" s="13" t="e">
        <f>#REF!*1.12</f>
        <v>#REF!</v>
      </c>
      <c r="L17" s="13" t="e">
        <f>#REF!*1.12</f>
        <v>#REF!</v>
      </c>
      <c r="M17" s="13" t="e">
        <f>#REF!*1.12</f>
        <v>#REF!</v>
      </c>
      <c r="N17" s="13" t="e">
        <f>#REF!*1.12</f>
        <v>#REF!</v>
      </c>
      <c r="O17" s="13" t="e">
        <f>#REF!*1.12</f>
        <v>#REF!</v>
      </c>
      <c r="P17" s="13" t="e">
        <f>#REF!*1.12</f>
        <v>#REF!</v>
      </c>
      <c r="Q17" s="13" t="e">
        <f>#REF!*1.12</f>
        <v>#REF!</v>
      </c>
      <c r="R17" s="13" t="e">
        <f>#REF!*1.12</f>
        <v>#REF!</v>
      </c>
      <c r="S17" s="13" t="e">
        <f>#REF!*1.12</f>
        <v>#REF!</v>
      </c>
      <c r="T17" s="13" t="e">
        <f>#REF!*1.12</f>
        <v>#REF!</v>
      </c>
      <c r="U17" s="13" t="e">
        <f t="shared" si="3"/>
        <v>#REF!</v>
      </c>
      <c r="V17" s="15"/>
      <c r="W17" s="15"/>
    </row>
    <row r="18" spans="1:23" ht="15.75">
      <c r="A18" s="9"/>
      <c r="B18" s="18" t="s">
        <v>2</v>
      </c>
      <c r="C18" s="19" t="s">
        <v>249</v>
      </c>
      <c r="D18" s="19"/>
      <c r="E18" s="19"/>
      <c r="F18" s="13">
        <f>66+8859.669</f>
        <v>8925.669</v>
      </c>
      <c r="G18" s="13">
        <f>80+164.507</f>
        <v>244.507</v>
      </c>
      <c r="H18" s="13">
        <v>3133.841</v>
      </c>
      <c r="I18" s="26"/>
      <c r="J18" s="9"/>
      <c r="K18" s="87"/>
      <c r="L18" s="9"/>
      <c r="M18" s="9"/>
      <c r="N18" s="9"/>
      <c r="O18" s="9"/>
      <c r="P18" s="87"/>
      <c r="Q18" s="13"/>
      <c r="R18" s="9"/>
      <c r="S18" s="9"/>
      <c r="T18" s="9"/>
      <c r="U18" s="23">
        <f t="shared" si="3"/>
        <v>0</v>
      </c>
      <c r="V18" s="15">
        <v>8859.669</v>
      </c>
      <c r="W18" s="15"/>
    </row>
    <row r="19" spans="1:24" s="32" customFormat="1" ht="18.75">
      <c r="A19" s="27"/>
      <c r="B19" s="28" t="s">
        <v>3</v>
      </c>
      <c r="C19" s="27" t="s">
        <v>249</v>
      </c>
      <c r="D19" s="27"/>
      <c r="E19" s="27"/>
      <c r="F19" s="29"/>
      <c r="G19" s="29"/>
      <c r="H19" s="29">
        <v>22356.847735630814</v>
      </c>
      <c r="I19" s="30" t="e">
        <f>I8+I11+I20-I21-I23-I26</f>
        <v>#REF!</v>
      </c>
      <c r="J19" s="30" t="e">
        <f aca="true" t="shared" si="4" ref="J19:U19">J8+J11+J20-J21-J23-J26</f>
        <v>#REF!</v>
      </c>
      <c r="K19" s="30" t="e">
        <f t="shared" si="4"/>
        <v>#REF!</v>
      </c>
      <c r="L19" s="30" t="e">
        <f t="shared" si="4"/>
        <v>#REF!</v>
      </c>
      <c r="M19" s="30" t="e">
        <f t="shared" si="4"/>
        <v>#REF!</v>
      </c>
      <c r="N19" s="30" t="e">
        <f t="shared" si="4"/>
        <v>#REF!</v>
      </c>
      <c r="O19" s="30" t="e">
        <f t="shared" si="4"/>
        <v>#REF!</v>
      </c>
      <c r="P19" s="30" t="e">
        <f t="shared" si="4"/>
        <v>#REF!</v>
      </c>
      <c r="Q19" s="30" t="e">
        <f t="shared" si="4"/>
        <v>#REF!</v>
      </c>
      <c r="R19" s="30" t="e">
        <f t="shared" si="4"/>
        <v>#REF!</v>
      </c>
      <c r="S19" s="30" t="e">
        <f t="shared" si="4"/>
        <v>#REF!</v>
      </c>
      <c r="T19" s="30" t="e">
        <f t="shared" si="4"/>
        <v>#REF!</v>
      </c>
      <c r="U19" s="30" t="e">
        <f t="shared" si="4"/>
        <v>#REF!</v>
      </c>
      <c r="V19" s="31"/>
      <c r="W19" s="31"/>
      <c r="X19" s="122" t="e">
        <f>U19-T19</f>
        <v>#REF!</v>
      </c>
    </row>
    <row r="20" spans="1:23" s="38" customFormat="1" ht="15.75">
      <c r="A20" s="96"/>
      <c r="B20" s="97" t="s">
        <v>310</v>
      </c>
      <c r="C20" s="77" t="s">
        <v>249</v>
      </c>
      <c r="D20" s="77"/>
      <c r="E20" s="77"/>
      <c r="F20" s="94"/>
      <c r="G20" s="95"/>
      <c r="H20" s="95">
        <v>255800</v>
      </c>
      <c r="I20" s="98"/>
      <c r="J20" s="98">
        <v>100000</v>
      </c>
      <c r="K20" s="98">
        <v>41000</v>
      </c>
      <c r="L20" s="98">
        <v>58000</v>
      </c>
      <c r="M20" s="98"/>
      <c r="N20" s="98"/>
      <c r="O20" s="98"/>
      <c r="P20" s="98"/>
      <c r="Q20" s="98"/>
      <c r="R20" s="98"/>
      <c r="S20" s="98"/>
      <c r="T20" s="98"/>
      <c r="U20" s="95">
        <f>SUM(I20:T20)</f>
        <v>199000</v>
      </c>
      <c r="V20" s="98"/>
      <c r="W20" s="100"/>
    </row>
    <row r="21" spans="1:23" s="40" customFormat="1" ht="15.75">
      <c r="A21" s="139"/>
      <c r="B21" s="140" t="s">
        <v>294</v>
      </c>
      <c r="C21" s="141" t="s">
        <v>249</v>
      </c>
      <c r="D21" s="141"/>
      <c r="E21" s="141"/>
      <c r="F21" s="142"/>
      <c r="G21" s="143"/>
      <c r="H21" s="143"/>
      <c r="I21" s="144"/>
      <c r="J21" s="144"/>
      <c r="K21" s="144"/>
      <c r="L21" s="144"/>
      <c r="M21" s="144"/>
      <c r="N21" s="144">
        <v>11000</v>
      </c>
      <c r="O21" s="144">
        <v>6000</v>
      </c>
      <c r="P21" s="144">
        <v>28000</v>
      </c>
      <c r="Q21" s="144">
        <v>25000</v>
      </c>
      <c r="R21" s="144">
        <v>56000</v>
      </c>
      <c r="S21" s="144">
        <v>50000</v>
      </c>
      <c r="T21" s="144">
        <v>23000</v>
      </c>
      <c r="U21" s="143">
        <f>SUM(I21:T21)</f>
        <v>199000</v>
      </c>
      <c r="V21" s="144"/>
      <c r="W21" s="100"/>
    </row>
    <row r="22" spans="1:23" s="38" customFormat="1" ht="15.75">
      <c r="A22" s="96"/>
      <c r="B22" s="97" t="s">
        <v>17</v>
      </c>
      <c r="C22" s="77" t="s">
        <v>249</v>
      </c>
      <c r="D22" s="77"/>
      <c r="E22" s="77"/>
      <c r="F22" s="94"/>
      <c r="G22" s="95"/>
      <c r="H22" s="95"/>
      <c r="I22" s="98">
        <f>I20</f>
        <v>0</v>
      </c>
      <c r="J22" s="98">
        <f>J20-J21</f>
        <v>100000</v>
      </c>
      <c r="K22" s="98">
        <f aca="true" t="shared" si="5" ref="K22:T22">J22+K20-K21</f>
        <v>141000</v>
      </c>
      <c r="L22" s="98">
        <f t="shared" si="5"/>
        <v>199000</v>
      </c>
      <c r="M22" s="98">
        <f t="shared" si="5"/>
        <v>199000</v>
      </c>
      <c r="N22" s="98">
        <f t="shared" si="5"/>
        <v>188000</v>
      </c>
      <c r="O22" s="98">
        <f t="shared" si="5"/>
        <v>182000</v>
      </c>
      <c r="P22" s="98">
        <f t="shared" si="5"/>
        <v>154000</v>
      </c>
      <c r="Q22" s="98">
        <f t="shared" si="5"/>
        <v>129000</v>
      </c>
      <c r="R22" s="98">
        <f t="shared" si="5"/>
        <v>73000</v>
      </c>
      <c r="S22" s="98">
        <f t="shared" si="5"/>
        <v>23000</v>
      </c>
      <c r="T22" s="98">
        <f t="shared" si="5"/>
        <v>0</v>
      </c>
      <c r="U22" s="95"/>
      <c r="V22" s="98"/>
      <c r="W22" s="100"/>
    </row>
    <row r="23" spans="1:23" s="38" customFormat="1" ht="15.75">
      <c r="A23" s="96"/>
      <c r="B23" s="97" t="s">
        <v>16</v>
      </c>
      <c r="C23" s="77" t="s">
        <v>249</v>
      </c>
      <c r="D23" s="77"/>
      <c r="E23" s="77"/>
      <c r="F23" s="94"/>
      <c r="G23" s="95"/>
      <c r="H23" s="95">
        <v>0</v>
      </c>
      <c r="I23" s="98">
        <f>0.1*I22/12</f>
        <v>0</v>
      </c>
      <c r="J23" s="98">
        <f>0.14*J22/12</f>
        <v>1166.6666666666667</v>
      </c>
      <c r="K23" s="98">
        <f aca="true" t="shared" si="6" ref="K23:T23">0.14*K22/12</f>
        <v>1645.0000000000002</v>
      </c>
      <c r="L23" s="98">
        <f t="shared" si="6"/>
        <v>2321.666666666667</v>
      </c>
      <c r="M23" s="98">
        <f t="shared" si="6"/>
        <v>2321.666666666667</v>
      </c>
      <c r="N23" s="98">
        <f t="shared" si="6"/>
        <v>2193.3333333333335</v>
      </c>
      <c r="O23" s="98">
        <f t="shared" si="6"/>
        <v>2123.3333333333335</v>
      </c>
      <c r="P23" s="98">
        <f t="shared" si="6"/>
        <v>1796.666666666667</v>
      </c>
      <c r="Q23" s="98">
        <f t="shared" si="6"/>
        <v>1505</v>
      </c>
      <c r="R23" s="98">
        <f t="shared" si="6"/>
        <v>851.6666666666669</v>
      </c>
      <c r="S23" s="98">
        <f t="shared" si="6"/>
        <v>268.33333333333337</v>
      </c>
      <c r="T23" s="98">
        <f t="shared" si="6"/>
        <v>0</v>
      </c>
      <c r="U23" s="95">
        <f>SUM(I23:T23)</f>
        <v>16193.333333333336</v>
      </c>
      <c r="V23" s="98"/>
      <c r="W23" s="100"/>
    </row>
    <row r="24" spans="1:23" s="34" customFormat="1" ht="15.75">
      <c r="A24" s="10" t="s">
        <v>4</v>
      </c>
      <c r="B24" s="11" t="s">
        <v>5</v>
      </c>
      <c r="C24" s="6" t="s">
        <v>249</v>
      </c>
      <c r="D24" s="6"/>
      <c r="E24" s="6"/>
      <c r="F24" s="17" t="e">
        <f aca="true" t="shared" si="7" ref="F24:W24">F28+F114+F139+F140+F141+F142+F143+F144+F145+F146+F147+F148+F149+F154+F152+F153+F150+F151</f>
        <v>#REF!</v>
      </c>
      <c r="G24" s="17" t="e">
        <f t="shared" si="7"/>
        <v>#REF!</v>
      </c>
      <c r="H24" s="17">
        <f t="shared" si="7"/>
        <v>2873455.475400392</v>
      </c>
      <c r="I24" s="17" t="e">
        <f t="shared" si="7"/>
        <v>#REF!</v>
      </c>
      <c r="J24" s="17" t="e">
        <f t="shared" si="7"/>
        <v>#REF!</v>
      </c>
      <c r="K24" s="17" t="e">
        <f t="shared" si="7"/>
        <v>#REF!</v>
      </c>
      <c r="L24" s="17" t="e">
        <f t="shared" si="7"/>
        <v>#REF!</v>
      </c>
      <c r="M24" s="17" t="e">
        <f t="shared" si="7"/>
        <v>#REF!</v>
      </c>
      <c r="N24" s="17" t="e">
        <f t="shared" si="7"/>
        <v>#REF!</v>
      </c>
      <c r="O24" s="17" t="e">
        <f t="shared" si="7"/>
        <v>#REF!</v>
      </c>
      <c r="P24" s="17" t="e">
        <f t="shared" si="7"/>
        <v>#REF!</v>
      </c>
      <c r="Q24" s="17" t="e">
        <f t="shared" si="7"/>
        <v>#REF!</v>
      </c>
      <c r="R24" s="17" t="e">
        <f t="shared" si="7"/>
        <v>#REF!</v>
      </c>
      <c r="S24" s="17" t="e">
        <f t="shared" si="7"/>
        <v>#REF!</v>
      </c>
      <c r="T24" s="17" t="e">
        <f t="shared" si="7"/>
        <v>#REF!</v>
      </c>
      <c r="U24" s="17" t="e">
        <f t="shared" si="7"/>
        <v>#REF!</v>
      </c>
      <c r="V24" s="17" t="e">
        <f t="shared" si="7"/>
        <v>#REF!</v>
      </c>
      <c r="W24" s="17" t="e">
        <f t="shared" si="7"/>
        <v>#REF!</v>
      </c>
    </row>
    <row r="25" spans="1:23" ht="15.75">
      <c r="A25" s="9"/>
      <c r="B25" s="18" t="s">
        <v>250</v>
      </c>
      <c r="C25" s="6" t="s">
        <v>249</v>
      </c>
      <c r="D25" s="19"/>
      <c r="E25" s="19"/>
      <c r="F25" s="8"/>
      <c r="G25" s="8"/>
      <c r="H25" s="8">
        <v>0</v>
      </c>
      <c r="I25" s="13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17"/>
      <c r="V25" s="15"/>
      <c r="W25" s="89" t="e">
        <f>W24-W116</f>
        <v>#REF!</v>
      </c>
    </row>
    <row r="26" spans="1:23" ht="15.75">
      <c r="A26" s="9"/>
      <c r="B26" s="18" t="s">
        <v>390</v>
      </c>
      <c r="C26" s="6" t="s">
        <v>249</v>
      </c>
      <c r="D26" s="19"/>
      <c r="E26" s="19"/>
      <c r="F26" s="13" t="e">
        <f>F24-F27</f>
        <v>#REF!</v>
      </c>
      <c r="G26" s="13" t="e">
        <f>G24-G27</f>
        <v>#REF!</v>
      </c>
      <c r="H26" s="13">
        <v>2939744.1334334323</v>
      </c>
      <c r="I26" s="13" t="e">
        <f>I24-I27</f>
        <v>#REF!</v>
      </c>
      <c r="J26" s="13" t="e">
        <f aca="true" t="shared" si="8" ref="J26:W26">J24-J27</f>
        <v>#REF!</v>
      </c>
      <c r="K26" s="13" t="e">
        <f t="shared" si="8"/>
        <v>#REF!</v>
      </c>
      <c r="L26" s="13" t="e">
        <f t="shared" si="8"/>
        <v>#REF!</v>
      </c>
      <c r="M26" s="13" t="e">
        <f t="shared" si="8"/>
        <v>#REF!</v>
      </c>
      <c r="N26" s="13" t="e">
        <f t="shared" si="8"/>
        <v>#REF!</v>
      </c>
      <c r="O26" s="13" t="e">
        <f>O24-O27</f>
        <v>#REF!</v>
      </c>
      <c r="P26" s="13" t="e">
        <f>P24-P27</f>
        <v>#REF!</v>
      </c>
      <c r="Q26" s="13" t="e">
        <f t="shared" si="8"/>
        <v>#REF!</v>
      </c>
      <c r="R26" s="13" t="e">
        <f t="shared" si="8"/>
        <v>#REF!</v>
      </c>
      <c r="S26" s="13" t="e">
        <f t="shared" si="8"/>
        <v>#REF!</v>
      </c>
      <c r="T26" s="13" t="e">
        <f t="shared" si="8"/>
        <v>#REF!</v>
      </c>
      <c r="U26" s="13" t="e">
        <f t="shared" si="8"/>
        <v>#REF!</v>
      </c>
      <c r="V26" s="13" t="e">
        <f t="shared" si="8"/>
        <v>#REF!</v>
      </c>
      <c r="W26" s="13" t="e">
        <f t="shared" si="8"/>
        <v>#REF!</v>
      </c>
    </row>
    <row r="27" spans="1:23" s="25" customFormat="1" ht="15.75">
      <c r="A27" s="20"/>
      <c r="B27" s="21" t="s">
        <v>391</v>
      </c>
      <c r="C27" s="6" t="s">
        <v>249</v>
      </c>
      <c r="D27" s="22"/>
      <c r="E27" s="22"/>
      <c r="F27" s="23">
        <f>F34</f>
        <v>0</v>
      </c>
      <c r="G27" s="23">
        <f>G34</f>
        <v>0</v>
      </c>
      <c r="H27" s="23">
        <v>2998.2117169600006</v>
      </c>
      <c r="I27" s="23" t="e">
        <f>I34</f>
        <v>#REF!</v>
      </c>
      <c r="J27" s="23" t="e">
        <f aca="true" t="shared" si="9" ref="J27:W27">J34</f>
        <v>#REF!</v>
      </c>
      <c r="K27" s="23" t="e">
        <f t="shared" si="9"/>
        <v>#REF!</v>
      </c>
      <c r="L27" s="23" t="e">
        <f t="shared" si="9"/>
        <v>#REF!</v>
      </c>
      <c r="M27" s="23" t="e">
        <f t="shared" si="9"/>
        <v>#REF!</v>
      </c>
      <c r="N27" s="23" t="e">
        <f t="shared" si="9"/>
        <v>#REF!</v>
      </c>
      <c r="O27" s="23" t="e">
        <f t="shared" si="9"/>
        <v>#REF!</v>
      </c>
      <c r="P27" s="23" t="e">
        <f t="shared" si="9"/>
        <v>#REF!</v>
      </c>
      <c r="Q27" s="23" t="e">
        <f t="shared" si="9"/>
        <v>#REF!</v>
      </c>
      <c r="R27" s="23" t="e">
        <f t="shared" si="9"/>
        <v>#REF!</v>
      </c>
      <c r="S27" s="23" t="e">
        <f t="shared" si="9"/>
        <v>#REF!</v>
      </c>
      <c r="T27" s="23" t="e">
        <f t="shared" si="9"/>
        <v>#REF!</v>
      </c>
      <c r="U27" s="23" t="e">
        <f t="shared" si="9"/>
        <v>#REF!</v>
      </c>
      <c r="V27" s="23">
        <f t="shared" si="9"/>
        <v>0</v>
      </c>
      <c r="W27" s="23">
        <f t="shared" si="9"/>
        <v>0</v>
      </c>
    </row>
    <row r="28" spans="1:23" s="34" customFormat="1" ht="32.25" customHeight="1">
      <c r="A28" s="10" t="s">
        <v>393</v>
      </c>
      <c r="B28" s="59" t="s">
        <v>233</v>
      </c>
      <c r="C28" s="6" t="s">
        <v>249</v>
      </c>
      <c r="D28" s="6"/>
      <c r="E28" s="6"/>
      <c r="F28" s="17" t="e">
        <f aca="true" t="shared" si="10" ref="F28:W28">F30+F32+F33+F35+F41+F49+F50+F51+F56+F57+F58+F59+F60+F62+F63+F64+F72+F73+F74+F75+F76+F77+F78+F79+F80+F81+F84+F85+F86+F87+F88+F89+F90+F91+F93+F94+F95+F96+F97+F98+F99+F100+F107+F82+F83+F101+F104+F106+F105+F110+F102+F61+F92+F108+F103+F109</f>
        <v>#REF!</v>
      </c>
      <c r="G28" s="17" t="e">
        <f t="shared" si="10"/>
        <v>#REF!</v>
      </c>
      <c r="H28" s="17">
        <v>2114136.091562292</v>
      </c>
      <c r="I28" s="17" t="e">
        <f t="shared" si="10"/>
        <v>#REF!</v>
      </c>
      <c r="J28" s="17" t="e">
        <f t="shared" si="10"/>
        <v>#REF!</v>
      </c>
      <c r="K28" s="17" t="e">
        <f t="shared" si="10"/>
        <v>#REF!</v>
      </c>
      <c r="L28" s="17" t="e">
        <f>L30+L32+L33+L35+L41+L49+L50+L51+L56+L57+L58+L59+L60+L62+L63+L64+L72+L73+L74+L75+L76+L77+L78+L79+L80+L81+L84+L85+L86+L87+L88+L89+L90+L91+L93+L94+L95+L96+L97+L98+L99+L100+L107+L82+L83+L101+L104+L106+L105+L110+L102+L61+L92+L108+L103+L109</f>
        <v>#REF!</v>
      </c>
      <c r="M28" s="17" t="e">
        <f t="shared" si="10"/>
        <v>#REF!</v>
      </c>
      <c r="N28" s="17" t="e">
        <f t="shared" si="10"/>
        <v>#REF!</v>
      </c>
      <c r="O28" s="17" t="e">
        <f t="shared" si="10"/>
        <v>#REF!</v>
      </c>
      <c r="P28" s="17" t="e">
        <f t="shared" si="10"/>
        <v>#REF!</v>
      </c>
      <c r="Q28" s="17" t="e">
        <f t="shared" si="10"/>
        <v>#REF!</v>
      </c>
      <c r="R28" s="17" t="e">
        <f t="shared" si="10"/>
        <v>#REF!</v>
      </c>
      <c r="S28" s="17" t="e">
        <f t="shared" si="10"/>
        <v>#REF!</v>
      </c>
      <c r="T28" s="17" t="e">
        <f t="shared" si="10"/>
        <v>#REF!</v>
      </c>
      <c r="U28" s="17" t="e">
        <f t="shared" si="10"/>
        <v>#REF!</v>
      </c>
      <c r="V28" s="17" t="e">
        <f t="shared" si="10"/>
        <v>#REF!</v>
      </c>
      <c r="W28" s="17" t="e">
        <f t="shared" si="10"/>
        <v>#REF!</v>
      </c>
    </row>
    <row r="29" spans="1:23" s="42" customFormat="1" ht="15.75" hidden="1">
      <c r="A29" s="118"/>
      <c r="B29" s="119" t="s">
        <v>309</v>
      </c>
      <c r="C29" s="120"/>
      <c r="D29" s="120"/>
      <c r="E29" s="120"/>
      <c r="F29" s="121"/>
      <c r="G29" s="121"/>
      <c r="H29" s="121"/>
      <c r="I29" s="121">
        <v>2025.1660800000002</v>
      </c>
      <c r="J29" s="121">
        <v>5130.731200000001</v>
      </c>
      <c r="K29" s="121">
        <v>7668.335920000001</v>
      </c>
      <c r="L29" s="121">
        <v>7130.3792</v>
      </c>
      <c r="M29" s="121">
        <v>8578.6848</v>
      </c>
      <c r="N29" s="121">
        <v>6049.881600000001</v>
      </c>
      <c r="O29" s="121">
        <v>1986.8240000000003</v>
      </c>
      <c r="P29" s="121">
        <v>4156.7568</v>
      </c>
      <c r="Q29" s="121">
        <v>11839.408000000001</v>
      </c>
      <c r="R29" s="121">
        <v>673.736</v>
      </c>
      <c r="S29" s="121">
        <v>19.208000000000002</v>
      </c>
      <c r="T29" s="121">
        <v>66.02400000000002</v>
      </c>
      <c r="U29" s="13">
        <f aca="true" t="shared" si="11" ref="U29:U37">SUM(I29:T29)</f>
        <v>55325.1356</v>
      </c>
      <c r="V29" s="121"/>
      <c r="W29" s="121"/>
    </row>
    <row r="30" spans="1:25" s="35" customFormat="1" ht="27">
      <c r="A30" s="9" t="s">
        <v>6</v>
      </c>
      <c r="B30" s="57" t="s">
        <v>197</v>
      </c>
      <c r="C30" s="19" t="s">
        <v>249</v>
      </c>
      <c r="D30" s="6"/>
      <c r="E30" s="6"/>
      <c r="F30" s="13"/>
      <c r="G30" s="13">
        <f>102.422+4003+1286.382+4304.667+498</f>
        <v>10194.471000000001</v>
      </c>
      <c r="H30" s="13">
        <v>43073.29312</v>
      </c>
      <c r="I30" s="13">
        <f>G30-2000</f>
        <v>8194.471000000001</v>
      </c>
      <c r="J30" s="13" t="e">
        <f>J29+'Исполнение тар сметы'!#REF!*1.12+'Исполнение тар сметы'!#REF!*1.12+2666.86-J31+2000</f>
        <v>#REF!</v>
      </c>
      <c r="K30" s="13" t="e">
        <f>K29+'Исполнение тар сметы'!#REF!*1.12+'Исполнение тар сметы'!#REF!*1.12-K31</f>
        <v>#REF!</v>
      </c>
      <c r="L30" s="13" t="e">
        <f>L29+'Исполнение тар сметы'!#REF!*1.12+'Исполнение тар сметы'!#REF!*1.12-L31</f>
        <v>#REF!</v>
      </c>
      <c r="M30" s="13" t="e">
        <f>M29+'Исполнение тар сметы'!#REF!*1.12+'Исполнение тар сметы'!#REF!*1.12-M31</f>
        <v>#REF!</v>
      </c>
      <c r="N30" s="13" t="e">
        <f>N29+'Исполнение тар сметы'!#REF!*1.12+'Исполнение тар сметы'!#REF!*1.12</f>
        <v>#REF!</v>
      </c>
      <c r="O30" s="13" t="e">
        <f>O29+'Исполнение тар сметы'!#REF!*1.12+'Исполнение тар сметы'!#REF!*1.12</f>
        <v>#REF!</v>
      </c>
      <c r="P30" s="13" t="e">
        <f>P29+'Исполнение тар сметы'!#REF!*1.12+'Исполнение тар сметы'!#REF!*1.12</f>
        <v>#REF!</v>
      </c>
      <c r="Q30" s="13" t="e">
        <f>Q29+'Исполнение тар сметы'!#REF!*1.12+'Исполнение тар сметы'!#REF!*1.12-Q31</f>
        <v>#REF!</v>
      </c>
      <c r="R30" s="13" t="e">
        <f>R29+'Исполнение тар сметы'!#REF!*1.12+'Исполнение тар сметы'!#REF!*1.12</f>
        <v>#REF!</v>
      </c>
      <c r="S30" s="13" t="e">
        <f>S29+'Исполнение тар сметы'!#REF!*1.12+'Исполнение тар сметы'!#REF!*1.12</f>
        <v>#REF!</v>
      </c>
      <c r="T30" s="13" t="e">
        <f>T29+'Исполнение тар сметы'!#REF!*1.12+'Исполнение тар сметы'!#REF!*1.12</f>
        <v>#REF!</v>
      </c>
      <c r="U30" s="13" t="e">
        <f t="shared" si="11"/>
        <v>#REF!</v>
      </c>
      <c r="V30" s="17"/>
      <c r="W30" s="13">
        <v>10000</v>
      </c>
      <c r="X30" s="104"/>
      <c r="Y30" s="104"/>
    </row>
    <row r="31" spans="1:25" s="138" customFormat="1" ht="12.75">
      <c r="A31" s="134"/>
      <c r="B31" s="135" t="s">
        <v>237</v>
      </c>
      <c r="C31" s="134"/>
      <c r="D31" s="136"/>
      <c r="E31" s="136"/>
      <c r="F31" s="129"/>
      <c r="G31" s="129"/>
      <c r="H31" s="129">
        <v>0</v>
      </c>
      <c r="I31" s="129"/>
      <c r="J31" s="129"/>
      <c r="K31" s="129"/>
      <c r="L31" s="129"/>
      <c r="M31" s="129"/>
      <c r="N31" s="129"/>
      <c r="O31" s="129"/>
      <c r="P31" s="129"/>
      <c r="Q31" s="129">
        <v>10000</v>
      </c>
      <c r="R31" s="129"/>
      <c r="S31" s="129"/>
      <c r="T31" s="129"/>
      <c r="U31" s="129">
        <f t="shared" si="11"/>
        <v>10000</v>
      </c>
      <c r="V31" s="137"/>
      <c r="W31" s="137"/>
      <c r="X31" s="130"/>
      <c r="Y31" s="130"/>
    </row>
    <row r="32" spans="1:25" ht="15.75">
      <c r="A32" s="9" t="s">
        <v>7</v>
      </c>
      <c r="B32" s="57" t="s">
        <v>8</v>
      </c>
      <c r="C32" s="19" t="s">
        <v>249</v>
      </c>
      <c r="D32" s="19"/>
      <c r="E32" s="19"/>
      <c r="F32" s="8"/>
      <c r="G32" s="13">
        <v>3218.5</v>
      </c>
      <c r="H32" s="13">
        <v>33464.6570358992</v>
      </c>
      <c r="I32" s="15">
        <f>G32</f>
        <v>3218.5</v>
      </c>
      <c r="J32" s="15" t="e">
        <f>('Исполнение тар сметы'!#REF!+'Исполнение тар сметы'!#REF!)*1.12</f>
        <v>#REF!</v>
      </c>
      <c r="K32" s="15" t="e">
        <f>('Исполнение тар сметы'!#REF!+'Исполнение тар сметы'!#REF!)*1.12</f>
        <v>#REF!</v>
      </c>
      <c r="L32" s="15" t="e">
        <f>('Исполнение тар сметы'!#REF!+'Исполнение тар сметы'!#REF!)*1.12</f>
        <v>#REF!</v>
      </c>
      <c r="M32" s="15" t="e">
        <f>('Исполнение тар сметы'!#REF!+'Исполнение тар сметы'!#REF!)*1.12</f>
        <v>#REF!</v>
      </c>
      <c r="N32" s="15" t="e">
        <f>('Исполнение тар сметы'!#REF!+'Исполнение тар сметы'!#REF!)*1.12</f>
        <v>#REF!</v>
      </c>
      <c r="O32" s="15" t="e">
        <f>('Исполнение тар сметы'!#REF!+'Исполнение тар сметы'!#REF!)*1.12</f>
        <v>#REF!</v>
      </c>
      <c r="P32" s="15" t="e">
        <f>('Исполнение тар сметы'!#REF!+'Исполнение тар сметы'!#REF!)*1.12</f>
        <v>#REF!</v>
      </c>
      <c r="Q32" s="15" t="e">
        <f>('Исполнение тар сметы'!#REF!+'Исполнение тар сметы'!#REF!)*1.12</f>
        <v>#REF!</v>
      </c>
      <c r="R32" s="15" t="e">
        <f>('Исполнение тар сметы'!#REF!+'Исполнение тар сметы'!#REF!)*1.12</f>
        <v>#REF!</v>
      </c>
      <c r="S32" s="15" t="e">
        <f>('Исполнение тар сметы'!#REF!+'Исполнение тар сметы'!#REF!)*1.12</f>
        <v>#REF!</v>
      </c>
      <c r="T32" s="15" t="e">
        <f>('Исполнение тар сметы'!#REF!+'Исполнение тар сметы'!#REF!)*1.12</f>
        <v>#REF!</v>
      </c>
      <c r="U32" s="13" t="e">
        <f t="shared" si="11"/>
        <v>#REF!</v>
      </c>
      <c r="V32" s="15"/>
      <c r="W32" s="15" t="e">
        <f>'Исполнение тар сметы'!#REF!*1.12</f>
        <v>#REF!</v>
      </c>
      <c r="X32" s="104"/>
      <c r="Y32" s="104"/>
    </row>
    <row r="33" spans="1:25" ht="31.5">
      <c r="A33" s="36" t="s">
        <v>9</v>
      </c>
      <c r="B33" s="57" t="s">
        <v>231</v>
      </c>
      <c r="C33" s="19" t="s">
        <v>249</v>
      </c>
      <c r="D33" s="19"/>
      <c r="E33" s="19"/>
      <c r="F33" s="13" t="e">
        <f>#REF!</f>
        <v>#REF!</v>
      </c>
      <c r="G33" s="13" t="e">
        <f>#REF!</f>
        <v>#REF!</v>
      </c>
      <c r="H33" s="13">
        <v>588057.614695184</v>
      </c>
      <c r="I33" s="15" t="e">
        <f>#REF!</f>
        <v>#REF!</v>
      </c>
      <c r="J33" s="15" t="e">
        <f>#REF!</f>
        <v>#REF!</v>
      </c>
      <c r="K33" s="15" t="e">
        <f>#REF!</f>
        <v>#REF!</v>
      </c>
      <c r="L33" s="15" t="e">
        <f>#REF!</f>
        <v>#REF!</v>
      </c>
      <c r="M33" s="15" t="e">
        <f>#REF!</f>
        <v>#REF!</v>
      </c>
      <c r="N33" s="15" t="e">
        <f>#REF!</f>
        <v>#REF!</v>
      </c>
      <c r="O33" s="15" t="e">
        <f>#REF!</f>
        <v>#REF!</v>
      </c>
      <c r="P33" s="15" t="e">
        <f>#REF!</f>
        <v>#REF!</v>
      </c>
      <c r="Q33" s="15" t="e">
        <f>#REF!</f>
        <v>#REF!</v>
      </c>
      <c r="R33" s="15" t="e">
        <f>#REF!</f>
        <v>#REF!</v>
      </c>
      <c r="S33" s="15" t="e">
        <f>#REF!</f>
        <v>#REF!</v>
      </c>
      <c r="T33" s="15" t="e">
        <f>#REF!</f>
        <v>#REF!</v>
      </c>
      <c r="U33" s="13" t="e">
        <f t="shared" si="11"/>
        <v>#REF!</v>
      </c>
      <c r="V33" s="15" t="e">
        <f>#REF!</f>
        <v>#REF!</v>
      </c>
      <c r="W33" s="15" t="e">
        <f>#REF!</f>
        <v>#REF!</v>
      </c>
      <c r="X33" s="104"/>
      <c r="Y33" s="5"/>
    </row>
    <row r="34" spans="1:23" s="25" customFormat="1" ht="15.75">
      <c r="A34" s="91"/>
      <c r="B34" s="92" t="s">
        <v>302</v>
      </c>
      <c r="C34" s="22" t="s">
        <v>249</v>
      </c>
      <c r="D34" s="22"/>
      <c r="E34" s="22"/>
      <c r="F34" s="23"/>
      <c r="G34" s="23"/>
      <c r="H34" s="23">
        <v>2998.2117169600006</v>
      </c>
      <c r="I34" s="24" t="e">
        <f>I16</f>
        <v>#REF!</v>
      </c>
      <c r="J34" s="24" t="e">
        <f aca="true" t="shared" si="12" ref="J34:T34">J16</f>
        <v>#REF!</v>
      </c>
      <c r="K34" s="24" t="e">
        <f t="shared" si="12"/>
        <v>#REF!</v>
      </c>
      <c r="L34" s="24" t="e">
        <f t="shared" si="12"/>
        <v>#REF!</v>
      </c>
      <c r="M34" s="24" t="e">
        <f t="shared" si="12"/>
        <v>#REF!</v>
      </c>
      <c r="N34" s="24" t="e">
        <f t="shared" si="12"/>
        <v>#REF!</v>
      </c>
      <c r="O34" s="24" t="e">
        <f t="shared" si="12"/>
        <v>#REF!</v>
      </c>
      <c r="P34" s="24" t="e">
        <f t="shared" si="12"/>
        <v>#REF!</v>
      </c>
      <c r="Q34" s="24" t="e">
        <f>Q16</f>
        <v>#REF!</v>
      </c>
      <c r="R34" s="24" t="e">
        <f t="shared" si="12"/>
        <v>#REF!</v>
      </c>
      <c r="S34" s="24" t="e">
        <f t="shared" si="12"/>
        <v>#REF!</v>
      </c>
      <c r="T34" s="24" t="e">
        <f t="shared" si="12"/>
        <v>#REF!</v>
      </c>
      <c r="U34" s="23" t="e">
        <f t="shared" si="11"/>
        <v>#REF!</v>
      </c>
      <c r="V34" s="24"/>
      <c r="W34" s="24"/>
    </row>
    <row r="35" spans="1:25" ht="15.75">
      <c r="A35" s="36" t="s">
        <v>11</v>
      </c>
      <c r="B35" s="57" t="s">
        <v>274</v>
      </c>
      <c r="C35" s="19" t="s">
        <v>249</v>
      </c>
      <c r="D35" s="19"/>
      <c r="E35" s="19"/>
      <c r="F35" s="13">
        <f aca="true" t="shared" si="13" ref="F35:T35">F37+F38+F39+F40</f>
        <v>466.7</v>
      </c>
      <c r="G35" s="13">
        <f t="shared" si="13"/>
        <v>93394.13499999998</v>
      </c>
      <c r="H35" s="13">
        <v>995857.7610875001</v>
      </c>
      <c r="I35" s="13">
        <f t="shared" si="13"/>
        <v>96394.13499999998</v>
      </c>
      <c r="J35" s="13" t="e">
        <f t="shared" si="13"/>
        <v>#REF!</v>
      </c>
      <c r="K35" s="13" t="e">
        <f t="shared" si="13"/>
        <v>#REF!</v>
      </c>
      <c r="L35" s="13" t="e">
        <f t="shared" si="13"/>
        <v>#REF!</v>
      </c>
      <c r="M35" s="13" t="e">
        <f t="shared" si="13"/>
        <v>#REF!</v>
      </c>
      <c r="N35" s="13" t="e">
        <f t="shared" si="13"/>
        <v>#REF!</v>
      </c>
      <c r="O35" s="13" t="e">
        <f t="shared" si="13"/>
        <v>#REF!</v>
      </c>
      <c r="P35" s="13" t="e">
        <f t="shared" si="13"/>
        <v>#REF!</v>
      </c>
      <c r="Q35" s="13" t="e">
        <f t="shared" si="13"/>
        <v>#REF!</v>
      </c>
      <c r="R35" s="13" t="e">
        <f t="shared" si="13"/>
        <v>#REF!</v>
      </c>
      <c r="S35" s="13" t="e">
        <f t="shared" si="13"/>
        <v>#REF!</v>
      </c>
      <c r="T35" s="13" t="e">
        <f t="shared" si="13"/>
        <v>#REF!</v>
      </c>
      <c r="U35" s="13" t="e">
        <f t="shared" si="11"/>
        <v>#REF!</v>
      </c>
      <c r="V35" s="13">
        <f>V37+V38+V39+V40</f>
        <v>0</v>
      </c>
      <c r="W35" s="13" t="e">
        <f>W37+W38+W39+W40</f>
        <v>#REF!</v>
      </c>
      <c r="X35" s="5"/>
      <c r="Y35" s="5"/>
    </row>
    <row r="36" spans="1:25" ht="15.75">
      <c r="A36" s="36"/>
      <c r="B36" s="75" t="s">
        <v>250</v>
      </c>
      <c r="C36" s="19" t="s">
        <v>249</v>
      </c>
      <c r="D36" s="19"/>
      <c r="E36" s="19"/>
      <c r="F36" s="13"/>
      <c r="G36" s="13"/>
      <c r="H36" s="13">
        <v>0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3">
        <f t="shared" si="11"/>
        <v>0</v>
      </c>
      <c r="V36" s="15"/>
      <c r="W36" s="15"/>
      <c r="Y36" s="5"/>
    </row>
    <row r="37" spans="1:23" s="38" customFormat="1" ht="15.75">
      <c r="A37" s="76"/>
      <c r="B37" s="74" t="s">
        <v>271</v>
      </c>
      <c r="C37" s="77" t="s">
        <v>249</v>
      </c>
      <c r="D37" s="77"/>
      <c r="E37" s="77"/>
      <c r="F37" s="69">
        <f>466.7</f>
        <v>466.7</v>
      </c>
      <c r="G37" s="69">
        <f>67093.752+496.958+7.632</f>
        <v>67598.34199999999</v>
      </c>
      <c r="H37" s="69">
        <v>754197.6765000002</v>
      </c>
      <c r="I37" s="37">
        <f>G37+3000</f>
        <v>70598.34199999999</v>
      </c>
      <c r="J37" s="37" t="e">
        <f>#REF!</f>
        <v>#REF!</v>
      </c>
      <c r="K37" s="37" t="e">
        <f>#REF!</f>
        <v>#REF!</v>
      </c>
      <c r="L37" s="37" t="e">
        <f>#REF!</f>
        <v>#REF!</v>
      </c>
      <c r="M37" s="37" t="e">
        <f>#REF!</f>
        <v>#REF!</v>
      </c>
      <c r="N37" s="37" t="e">
        <f>#REF!</f>
        <v>#REF!</v>
      </c>
      <c r="O37" s="37" t="e">
        <f>#REF!</f>
        <v>#REF!</v>
      </c>
      <c r="P37" s="37" t="e">
        <f>#REF!</f>
        <v>#REF!</v>
      </c>
      <c r="Q37" s="37" t="e">
        <f>#REF!</f>
        <v>#REF!</v>
      </c>
      <c r="R37" s="37" t="e">
        <f>#REF!</f>
        <v>#REF!</v>
      </c>
      <c r="S37" s="37" t="e">
        <f>#REF!</f>
        <v>#REF!</v>
      </c>
      <c r="T37" s="37" t="e">
        <f>#REF!</f>
        <v>#REF!</v>
      </c>
      <c r="U37" s="13" t="e">
        <f t="shared" si="11"/>
        <v>#REF!</v>
      </c>
      <c r="V37" s="37"/>
      <c r="W37" s="37" t="e">
        <f>#REF!+14116.37</f>
        <v>#REF!</v>
      </c>
    </row>
    <row r="38" spans="1:23" s="38" customFormat="1" ht="15.75">
      <c r="A38" s="76"/>
      <c r="B38" s="74" t="s">
        <v>272</v>
      </c>
      <c r="C38" s="77" t="s">
        <v>249</v>
      </c>
      <c r="D38" s="77"/>
      <c r="E38" s="77"/>
      <c r="F38" s="105"/>
      <c r="G38" s="69">
        <v>9037.303</v>
      </c>
      <c r="H38" s="69">
        <v>92217.81625000002</v>
      </c>
      <c r="I38" s="37">
        <f>G38</f>
        <v>9037.303</v>
      </c>
      <c r="J38" s="37" t="e">
        <f>#REF!</f>
        <v>#REF!</v>
      </c>
      <c r="K38" s="37" t="e">
        <f>#REF!</f>
        <v>#REF!</v>
      </c>
      <c r="L38" s="37" t="e">
        <f>#REF!</f>
        <v>#REF!</v>
      </c>
      <c r="M38" s="37" t="e">
        <f>#REF!</f>
        <v>#REF!</v>
      </c>
      <c r="N38" s="37" t="e">
        <f>#REF!</f>
        <v>#REF!</v>
      </c>
      <c r="O38" s="37" t="e">
        <f>#REF!</f>
        <v>#REF!</v>
      </c>
      <c r="P38" s="37" t="e">
        <f>#REF!</f>
        <v>#REF!</v>
      </c>
      <c r="Q38" s="37" t="e">
        <f>#REF!</f>
        <v>#REF!</v>
      </c>
      <c r="R38" s="37" t="e">
        <f>#REF!</f>
        <v>#REF!</v>
      </c>
      <c r="S38" s="37" t="e">
        <f>#REF!</f>
        <v>#REF!</v>
      </c>
      <c r="T38" s="37" t="e">
        <f>#REF!</f>
        <v>#REF!</v>
      </c>
      <c r="U38" s="13" t="e">
        <f aca="true" t="shared" si="14" ref="U38:U48">SUM(I38:T38)</f>
        <v>#REF!</v>
      </c>
      <c r="V38" s="37"/>
      <c r="W38" s="37" t="e">
        <f>#REF!</f>
        <v>#REF!</v>
      </c>
    </row>
    <row r="39" spans="1:23" s="38" customFormat="1" ht="15.75">
      <c r="A39" s="76"/>
      <c r="B39" s="74" t="s">
        <v>273</v>
      </c>
      <c r="C39" s="77" t="s">
        <v>249</v>
      </c>
      <c r="D39" s="77"/>
      <c r="E39" s="77"/>
      <c r="F39" s="105"/>
      <c r="G39" s="69">
        <v>6924.177</v>
      </c>
      <c r="H39" s="69">
        <v>57212.80975000001</v>
      </c>
      <c r="I39" s="37">
        <f>G39</f>
        <v>6924.177</v>
      </c>
      <c r="J39" s="37" t="e">
        <f>#REF!</f>
        <v>#REF!</v>
      </c>
      <c r="K39" s="37" t="e">
        <f>#REF!</f>
        <v>#REF!</v>
      </c>
      <c r="L39" s="37" t="e">
        <f>#REF!</f>
        <v>#REF!</v>
      </c>
      <c r="M39" s="37" t="e">
        <f>#REF!</f>
        <v>#REF!</v>
      </c>
      <c r="N39" s="37" t="e">
        <f>#REF!</f>
        <v>#REF!</v>
      </c>
      <c r="O39" s="37" t="e">
        <f>#REF!</f>
        <v>#REF!</v>
      </c>
      <c r="P39" s="37" t="e">
        <f>#REF!</f>
        <v>#REF!</v>
      </c>
      <c r="Q39" s="37" t="e">
        <f>#REF!</f>
        <v>#REF!</v>
      </c>
      <c r="R39" s="37" t="e">
        <f>#REF!</f>
        <v>#REF!</v>
      </c>
      <c r="S39" s="37" t="e">
        <f>#REF!</f>
        <v>#REF!</v>
      </c>
      <c r="T39" s="37" t="e">
        <f>#REF!</f>
        <v>#REF!</v>
      </c>
      <c r="U39" s="13" t="e">
        <f t="shared" si="14"/>
        <v>#REF!</v>
      </c>
      <c r="V39" s="37"/>
      <c r="W39" s="37" t="e">
        <f>#REF!</f>
        <v>#REF!</v>
      </c>
    </row>
    <row r="40" spans="1:23" s="38" customFormat="1" ht="15.75">
      <c r="A40" s="76"/>
      <c r="B40" s="74" t="s">
        <v>356</v>
      </c>
      <c r="C40" s="77" t="s">
        <v>249</v>
      </c>
      <c r="D40" s="77"/>
      <c r="E40" s="77"/>
      <c r="F40" s="106"/>
      <c r="G40" s="69">
        <f>5914.5+3919.813</f>
        <v>9834.313</v>
      </c>
      <c r="H40" s="69">
        <v>92229.45858750002</v>
      </c>
      <c r="I40" s="37">
        <f>G40</f>
        <v>9834.313</v>
      </c>
      <c r="J40" s="37" t="e">
        <f>#REF!</f>
        <v>#REF!</v>
      </c>
      <c r="K40" s="37" t="e">
        <f>#REF!</f>
        <v>#REF!</v>
      </c>
      <c r="L40" s="37" t="e">
        <f>#REF!</f>
        <v>#REF!</v>
      </c>
      <c r="M40" s="37" t="e">
        <f>#REF!</f>
        <v>#REF!</v>
      </c>
      <c r="N40" s="37" t="e">
        <f>#REF!</f>
        <v>#REF!</v>
      </c>
      <c r="O40" s="37" t="e">
        <f>#REF!</f>
        <v>#REF!</v>
      </c>
      <c r="P40" s="37" t="e">
        <f>#REF!</f>
        <v>#REF!</v>
      </c>
      <c r="Q40" s="37" t="e">
        <f>#REF!</f>
        <v>#REF!</v>
      </c>
      <c r="R40" s="37" t="e">
        <f>#REF!</f>
        <v>#REF!</v>
      </c>
      <c r="S40" s="37" t="e">
        <f>#REF!</f>
        <v>#REF!</v>
      </c>
      <c r="T40" s="37" t="e">
        <f>#REF!</f>
        <v>#REF!</v>
      </c>
      <c r="U40" s="13" t="e">
        <f t="shared" si="14"/>
        <v>#REF!</v>
      </c>
      <c r="V40" s="37"/>
      <c r="W40" s="37" t="e">
        <f>#REF!</f>
        <v>#REF!</v>
      </c>
    </row>
    <row r="41" spans="1:23" ht="31.5">
      <c r="A41" s="36" t="s">
        <v>67</v>
      </c>
      <c r="B41" s="57" t="s">
        <v>277</v>
      </c>
      <c r="C41" s="19" t="s">
        <v>249</v>
      </c>
      <c r="D41" s="19"/>
      <c r="E41" s="19"/>
      <c r="F41" s="15">
        <f>F43+F46+F47+F48</f>
        <v>0</v>
      </c>
      <c r="G41" s="15">
        <f>G43+G46+G47</f>
        <v>21938.46</v>
      </c>
      <c r="H41" s="15">
        <v>106051.51719360001</v>
      </c>
      <c r="I41" s="15" t="e">
        <f>I43+I46+I47+I48</f>
        <v>#REF!</v>
      </c>
      <c r="J41" s="15" t="e">
        <f aca="true" t="shared" si="15" ref="J41:P41">J43+J46+J47</f>
        <v>#REF!</v>
      </c>
      <c r="K41" s="15" t="e">
        <f t="shared" si="15"/>
        <v>#REF!</v>
      </c>
      <c r="L41" s="15" t="e">
        <f t="shared" si="15"/>
        <v>#REF!</v>
      </c>
      <c r="M41" s="15" t="e">
        <f t="shared" si="15"/>
        <v>#REF!</v>
      </c>
      <c r="N41" s="15" t="e">
        <f t="shared" si="15"/>
        <v>#REF!</v>
      </c>
      <c r="O41" s="15" t="e">
        <f t="shared" si="15"/>
        <v>#REF!</v>
      </c>
      <c r="P41" s="15" t="e">
        <f t="shared" si="15"/>
        <v>#REF!</v>
      </c>
      <c r="Q41" s="15" t="e">
        <f>Q43+Q46+Q47+Q48</f>
        <v>#REF!</v>
      </c>
      <c r="R41" s="15" t="e">
        <f aca="true" t="shared" si="16" ref="R41:W41">R43+R46+R47</f>
        <v>#REF!</v>
      </c>
      <c r="S41" s="15" t="e">
        <f t="shared" si="16"/>
        <v>#REF!</v>
      </c>
      <c r="T41" s="15" t="e">
        <f t="shared" si="16"/>
        <v>#REF!</v>
      </c>
      <c r="U41" s="15" t="e">
        <f t="shared" si="16"/>
        <v>#REF!</v>
      </c>
      <c r="V41" s="15">
        <f t="shared" si="16"/>
        <v>0</v>
      </c>
      <c r="W41" s="15">
        <f t="shared" si="16"/>
        <v>14817.53</v>
      </c>
    </row>
    <row r="42" spans="1:23" ht="15.75">
      <c r="A42" s="36"/>
      <c r="B42" s="75" t="s">
        <v>250</v>
      </c>
      <c r="C42" s="19"/>
      <c r="D42" s="19"/>
      <c r="E42" s="19"/>
      <c r="F42" s="8"/>
      <c r="G42" s="8"/>
      <c r="H42" s="8">
        <v>0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3">
        <f t="shared" si="14"/>
        <v>0</v>
      </c>
      <c r="V42" s="15"/>
      <c r="W42" s="15"/>
    </row>
    <row r="43" spans="1:25" s="38" customFormat="1" ht="15.75">
      <c r="A43" s="76"/>
      <c r="B43" s="74" t="s">
        <v>278</v>
      </c>
      <c r="C43" s="77"/>
      <c r="D43" s="77"/>
      <c r="E43" s="77"/>
      <c r="F43" s="75"/>
      <c r="G43" s="69">
        <f>1429.24+9374+746.963+10388.257</f>
        <v>21938.46</v>
      </c>
      <c r="H43" s="69">
        <v>86494.81539360002</v>
      </c>
      <c r="I43" s="37" t="e">
        <f>#REF!/1000*1.12+I44</f>
        <v>#REF!</v>
      </c>
      <c r="J43" s="37" t="e">
        <f>#REF!/1000*1.12+J44</f>
        <v>#REF!</v>
      </c>
      <c r="K43" s="37" t="e">
        <f>#REF!/1000*1.12+K44</f>
        <v>#REF!</v>
      </c>
      <c r="L43" s="37" t="e">
        <f>#REF!/1000*1.12</f>
        <v>#REF!</v>
      </c>
      <c r="M43" s="37" t="e">
        <f>#REF!/1000*1.12-5000</f>
        <v>#REF!</v>
      </c>
      <c r="N43" s="37" t="e">
        <f>#REF!/1000*1.12-5000</f>
        <v>#REF!</v>
      </c>
      <c r="O43" s="37" t="e">
        <f>#REF!/1000*1.12</f>
        <v>#REF!</v>
      </c>
      <c r="P43" s="37" t="e">
        <f>#REF!/1000*1.12-5000</f>
        <v>#REF!</v>
      </c>
      <c r="Q43" s="37" t="e">
        <f>#REF!/1000*1.12</f>
        <v>#REF!</v>
      </c>
      <c r="R43" s="37" t="e">
        <f>#REF!/1000*1.12</f>
        <v>#REF!</v>
      </c>
      <c r="S43" s="37" t="e">
        <f>#REF!/1000*1.12</f>
        <v>#REF!</v>
      </c>
      <c r="T43" s="37" t="e">
        <f>#REF!/1000*1.12</f>
        <v>#REF!</v>
      </c>
      <c r="U43" s="37" t="e">
        <f t="shared" si="14"/>
        <v>#REF!</v>
      </c>
      <c r="V43" s="37"/>
      <c r="W43" s="37">
        <v>14817.53</v>
      </c>
      <c r="X43" s="104"/>
      <c r="Y43" s="101"/>
    </row>
    <row r="44" spans="1:25" s="132" customFormat="1" ht="12.75">
      <c r="A44" s="123"/>
      <c r="B44" s="124" t="s">
        <v>238</v>
      </c>
      <c r="C44" s="125"/>
      <c r="D44" s="125"/>
      <c r="E44" s="125"/>
      <c r="F44" s="126"/>
      <c r="G44" s="127">
        <f>1429.24+9374+746.963+10388.257</f>
        <v>21938.46</v>
      </c>
      <c r="H44" s="127"/>
      <c r="I44" s="128">
        <v>2033.35</v>
      </c>
      <c r="J44" s="128">
        <f>7312.82*2-2033.35</f>
        <v>12592.289999999999</v>
      </c>
      <c r="K44" s="128">
        <v>7312.82</v>
      </c>
      <c r="L44" s="128"/>
      <c r="M44" s="128"/>
      <c r="N44" s="128"/>
      <c r="O44" s="128"/>
      <c r="P44" s="128"/>
      <c r="Q44" s="128"/>
      <c r="R44" s="128"/>
      <c r="S44" s="128"/>
      <c r="T44" s="128"/>
      <c r="U44" s="133">
        <f t="shared" si="14"/>
        <v>21938.46</v>
      </c>
      <c r="V44" s="128"/>
      <c r="W44" s="128"/>
      <c r="X44" s="130"/>
      <c r="Y44" s="131"/>
    </row>
    <row r="45" spans="1:25" s="132" customFormat="1" ht="12.75" hidden="1">
      <c r="A45" s="123"/>
      <c r="B45" s="135"/>
      <c r="C45" s="125"/>
      <c r="D45" s="125"/>
      <c r="E45" s="125"/>
      <c r="F45" s="126"/>
      <c r="G45" s="127"/>
      <c r="H45" s="127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33"/>
      <c r="V45" s="128"/>
      <c r="W45" s="128"/>
      <c r="X45" s="130"/>
      <c r="Y45" s="131"/>
    </row>
    <row r="46" spans="1:25" s="38" customFormat="1" ht="15.75">
      <c r="A46" s="76"/>
      <c r="B46" s="74" t="s">
        <v>8</v>
      </c>
      <c r="C46" s="77"/>
      <c r="D46" s="77"/>
      <c r="E46" s="77"/>
      <c r="F46" s="75"/>
      <c r="G46" s="75"/>
      <c r="H46" s="75">
        <v>11739.100800000002</v>
      </c>
      <c r="I46" s="37" t="e">
        <f>#REF!*1.12</f>
        <v>#REF!</v>
      </c>
      <c r="J46" s="37"/>
      <c r="K46" s="37"/>
      <c r="L46" s="37" t="e">
        <f>#REF!*1.12</f>
        <v>#REF!</v>
      </c>
      <c r="M46" s="37" t="e">
        <f>#REF!*1.12</f>
        <v>#REF!</v>
      </c>
      <c r="N46" s="37" t="e">
        <f>#REF!*1.12</f>
        <v>#REF!</v>
      </c>
      <c r="O46" s="37" t="e">
        <f>#REF!*1.12</f>
        <v>#REF!</v>
      </c>
      <c r="P46" s="37" t="e">
        <f>#REF!*1.12</f>
        <v>#REF!</v>
      </c>
      <c r="Q46" s="37" t="e">
        <f>#REF!*1.12</f>
        <v>#REF!</v>
      </c>
      <c r="R46" s="37" t="e">
        <f>#REF!*1.12</f>
        <v>#REF!</v>
      </c>
      <c r="S46" s="37" t="e">
        <f>#REF!*1.12</f>
        <v>#REF!</v>
      </c>
      <c r="T46" s="37" t="e">
        <f>#REF!*1.12</f>
        <v>#REF!</v>
      </c>
      <c r="U46" s="13" t="e">
        <f t="shared" si="14"/>
        <v>#REF!</v>
      </c>
      <c r="V46" s="37"/>
      <c r="W46" s="37"/>
      <c r="X46" s="101"/>
      <c r="Y46" s="101"/>
    </row>
    <row r="47" spans="1:25" s="38" customFormat="1" ht="15.75">
      <c r="A47" s="76"/>
      <c r="B47" s="74" t="s">
        <v>52</v>
      </c>
      <c r="C47" s="77"/>
      <c r="D47" s="77"/>
      <c r="E47" s="77"/>
      <c r="F47" s="75"/>
      <c r="G47" s="75"/>
      <c r="H47" s="75">
        <v>7817.601000000001</v>
      </c>
      <c r="I47" s="37" t="e">
        <f>'Исполнение тар сметы'!#REF!</f>
        <v>#REF!</v>
      </c>
      <c r="J47" s="37" t="e">
        <f>'Исполнение тар сметы'!#REF!</f>
        <v>#REF!</v>
      </c>
      <c r="K47" s="37" t="e">
        <f>'Исполнение тар сметы'!#REF!</f>
        <v>#REF!</v>
      </c>
      <c r="L47" s="37" t="e">
        <f>#REF!</f>
        <v>#REF!</v>
      </c>
      <c r="M47" s="37" t="e">
        <f>#REF!</f>
        <v>#REF!</v>
      </c>
      <c r="N47" s="37" t="e">
        <f>#REF!</f>
        <v>#REF!</v>
      </c>
      <c r="O47" s="37" t="e">
        <f>#REF!</f>
        <v>#REF!</v>
      </c>
      <c r="P47" s="37" t="e">
        <f>#REF!</f>
        <v>#REF!</v>
      </c>
      <c r="Q47" s="37" t="e">
        <f>#REF!</f>
        <v>#REF!</v>
      </c>
      <c r="R47" s="37" t="e">
        <f>#REF!</f>
        <v>#REF!</v>
      </c>
      <c r="S47" s="37" t="e">
        <f>#REF!</f>
        <v>#REF!</v>
      </c>
      <c r="T47" s="37" t="e">
        <f>#REF!</f>
        <v>#REF!</v>
      </c>
      <c r="U47" s="13" t="e">
        <f t="shared" si="14"/>
        <v>#REF!</v>
      </c>
      <c r="V47" s="37"/>
      <c r="W47" s="37"/>
      <c r="X47" s="101"/>
      <c r="Y47" s="101"/>
    </row>
    <row r="48" spans="1:25" s="38" customFormat="1" ht="15.75">
      <c r="A48" s="76"/>
      <c r="B48" s="74" t="s">
        <v>53</v>
      </c>
      <c r="C48" s="77"/>
      <c r="D48" s="77"/>
      <c r="E48" s="77"/>
      <c r="F48" s="69"/>
      <c r="G48" s="75"/>
      <c r="H48" s="75">
        <v>0</v>
      </c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13">
        <f t="shared" si="14"/>
        <v>0</v>
      </c>
      <c r="V48" s="37"/>
      <c r="W48" s="37"/>
      <c r="X48" s="101"/>
      <c r="Y48" s="101"/>
    </row>
    <row r="49" spans="1:25" ht="15.75">
      <c r="A49" s="36" t="s">
        <v>68</v>
      </c>
      <c r="B49" s="57" t="s">
        <v>280</v>
      </c>
      <c r="C49" s="19" t="s">
        <v>249</v>
      </c>
      <c r="D49" s="19"/>
      <c r="E49" s="19"/>
      <c r="F49" s="13">
        <v>17.245</v>
      </c>
      <c r="G49" s="13">
        <f>13.292+13.82+748.839</f>
        <v>775.951</v>
      </c>
      <c r="H49" s="13">
        <v>9336.488360000001</v>
      </c>
      <c r="I49" s="44">
        <f>G49</f>
        <v>775.951</v>
      </c>
      <c r="J49" s="44" t="e">
        <f>('Исполнение тар сметы'!#REF!+'Исполнение тар сметы'!#REF!)*1.12</f>
        <v>#REF!</v>
      </c>
      <c r="K49" s="44" t="e">
        <f>('Исполнение тар сметы'!#REF!+'Исполнение тар сметы'!#REF!)*1.12</f>
        <v>#REF!</v>
      </c>
      <c r="L49" s="44" t="e">
        <f>('Исполнение тар сметы'!#REF!+'Исполнение тар сметы'!#REF!)*1.12</f>
        <v>#REF!</v>
      </c>
      <c r="M49" s="44" t="e">
        <f>('Исполнение тар сметы'!#REF!+'Исполнение тар сметы'!#REF!)*1.12</f>
        <v>#REF!</v>
      </c>
      <c r="N49" s="44" t="e">
        <f>('Исполнение тар сметы'!#REF!+'Исполнение тар сметы'!#REF!)*1.12</f>
        <v>#REF!</v>
      </c>
      <c r="O49" s="44" t="e">
        <f>('Исполнение тар сметы'!#REF!+'Исполнение тар сметы'!#REF!)*1.12</f>
        <v>#REF!</v>
      </c>
      <c r="P49" s="44" t="e">
        <f>('Исполнение тар сметы'!#REF!+'Исполнение тар сметы'!#REF!)*1.12</f>
        <v>#REF!</v>
      </c>
      <c r="Q49" s="44" t="e">
        <f>('Исполнение тар сметы'!#REF!+'Исполнение тар сметы'!#REF!)*1.12</f>
        <v>#REF!</v>
      </c>
      <c r="R49" s="44" t="e">
        <f>('Исполнение тар сметы'!#REF!+'Исполнение тар сметы'!#REF!)*1.12</f>
        <v>#REF!</v>
      </c>
      <c r="S49" s="44" t="e">
        <f>('Исполнение тар сметы'!#REF!+'Исполнение тар сметы'!#REF!)*1.12</f>
        <v>#REF!</v>
      </c>
      <c r="T49" s="44" t="e">
        <f>('Исполнение тар сметы'!#REF!+'Исполнение тар сметы'!#REF!)*1.12</f>
        <v>#REF!</v>
      </c>
      <c r="U49" s="13" t="e">
        <f>SUM(I49:T49)</f>
        <v>#REF!</v>
      </c>
      <c r="V49" s="15"/>
      <c r="W49" s="15" t="e">
        <f>('Исполнение тар сметы'!#REF!+'Исполнение тар сметы'!#REF!)*1.12</f>
        <v>#REF!</v>
      </c>
      <c r="X49" s="5"/>
      <c r="Y49" s="101"/>
    </row>
    <row r="50" spans="1:25" s="25" customFormat="1" ht="31.5">
      <c r="A50" s="36" t="s">
        <v>69</v>
      </c>
      <c r="B50" s="15" t="s">
        <v>281</v>
      </c>
      <c r="C50" s="19" t="s">
        <v>249</v>
      </c>
      <c r="D50" s="22"/>
      <c r="E50" s="22"/>
      <c r="F50" s="13"/>
      <c r="G50" s="13">
        <v>1023.811</v>
      </c>
      <c r="H50" s="13" t="e">
        <f>SUM(I50:T50)</f>
        <v>#REF!</v>
      </c>
      <c r="I50" s="44">
        <f>G50</f>
        <v>1023.811</v>
      </c>
      <c r="J50" s="44" t="e">
        <f>'Исполнение тар сметы'!#REF!*1.12</f>
        <v>#REF!</v>
      </c>
      <c r="K50" s="44" t="e">
        <f>'Исполнение тар сметы'!#REF!*1.12</f>
        <v>#REF!</v>
      </c>
      <c r="L50" s="44" t="e">
        <f>'Исполнение тар сметы'!#REF!*1.12</f>
        <v>#REF!</v>
      </c>
      <c r="M50" s="44" t="e">
        <f>'Исполнение тар сметы'!#REF!*1.12</f>
        <v>#REF!</v>
      </c>
      <c r="N50" s="44" t="e">
        <f>'Исполнение тар сметы'!#REF!*1.12</f>
        <v>#REF!</v>
      </c>
      <c r="O50" s="44" t="e">
        <f>'Исполнение тар сметы'!#REF!*1.12</f>
        <v>#REF!</v>
      </c>
      <c r="P50" s="44" t="e">
        <f>'Исполнение тар сметы'!#REF!*1.12</f>
        <v>#REF!</v>
      </c>
      <c r="Q50" s="44" t="e">
        <f>'Исполнение тар сметы'!#REF!*1.12</f>
        <v>#REF!</v>
      </c>
      <c r="R50" s="44" t="e">
        <f>'Исполнение тар сметы'!#REF!*1.12</f>
        <v>#REF!</v>
      </c>
      <c r="S50" s="44" t="e">
        <f>'Исполнение тар сметы'!#REF!*1.12</f>
        <v>#REF!</v>
      </c>
      <c r="T50" s="44" t="e">
        <f>'Исполнение тар сметы'!#REF!*1.12</f>
        <v>#REF!</v>
      </c>
      <c r="U50" s="13" t="e">
        <f>SUM(I50:T50)</f>
        <v>#REF!</v>
      </c>
      <c r="V50" s="15"/>
      <c r="W50" s="15" t="e">
        <f>'Исполнение тар сметы'!#REF!*1.12</f>
        <v>#REF!</v>
      </c>
      <c r="X50" s="71"/>
      <c r="Y50" s="101"/>
    </row>
    <row r="51" spans="1:25" s="38" customFormat="1" ht="15.75">
      <c r="A51" s="36" t="s">
        <v>70</v>
      </c>
      <c r="B51" s="15" t="s">
        <v>357</v>
      </c>
      <c r="C51" s="19" t="s">
        <v>249</v>
      </c>
      <c r="D51" s="19"/>
      <c r="E51" s="19"/>
      <c r="F51" s="13"/>
      <c r="G51" s="15">
        <f aca="true" t="shared" si="17" ref="G51:W51">G53+G54+G55</f>
        <v>2651.2459999999996</v>
      </c>
      <c r="H51" s="15">
        <v>19980.5459211296</v>
      </c>
      <c r="I51" s="44" t="e">
        <f t="shared" si="17"/>
        <v>#REF!</v>
      </c>
      <c r="J51" s="44" t="e">
        <f t="shared" si="17"/>
        <v>#REF!</v>
      </c>
      <c r="K51" s="44" t="e">
        <f t="shared" si="17"/>
        <v>#REF!</v>
      </c>
      <c r="L51" s="44" t="e">
        <f t="shared" si="17"/>
        <v>#REF!</v>
      </c>
      <c r="M51" s="44" t="e">
        <f t="shared" si="17"/>
        <v>#REF!</v>
      </c>
      <c r="N51" s="44" t="e">
        <f t="shared" si="17"/>
        <v>#REF!</v>
      </c>
      <c r="O51" s="44" t="e">
        <f t="shared" si="17"/>
        <v>#REF!</v>
      </c>
      <c r="P51" s="44" t="e">
        <f t="shared" si="17"/>
        <v>#REF!</v>
      </c>
      <c r="Q51" s="44" t="e">
        <f t="shared" si="17"/>
        <v>#REF!</v>
      </c>
      <c r="R51" s="44" t="e">
        <f t="shared" si="17"/>
        <v>#REF!</v>
      </c>
      <c r="S51" s="44" t="e">
        <f t="shared" si="17"/>
        <v>#REF!</v>
      </c>
      <c r="T51" s="44" t="e">
        <f t="shared" si="17"/>
        <v>#REF!</v>
      </c>
      <c r="U51" s="44" t="e">
        <f t="shared" si="17"/>
        <v>#REF!</v>
      </c>
      <c r="V51" s="44">
        <f t="shared" si="17"/>
        <v>0</v>
      </c>
      <c r="W51" s="44">
        <f t="shared" si="17"/>
        <v>2708.9500000000003</v>
      </c>
      <c r="X51" s="101"/>
      <c r="Y51" s="101"/>
    </row>
    <row r="52" spans="1:25" s="38" customFormat="1" ht="15.75">
      <c r="A52" s="76"/>
      <c r="B52" s="80" t="s">
        <v>250</v>
      </c>
      <c r="C52" s="77"/>
      <c r="D52" s="77"/>
      <c r="E52" s="77"/>
      <c r="F52" s="69"/>
      <c r="G52" s="37"/>
      <c r="H52" s="37">
        <v>0</v>
      </c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13">
        <f aca="true" t="shared" si="18" ref="U52:U57">SUM(I52:T52)</f>
        <v>0</v>
      </c>
      <c r="V52" s="37"/>
      <c r="W52" s="37"/>
      <c r="X52" s="101"/>
      <c r="Y52" s="101"/>
    </row>
    <row r="53" spans="1:25" s="38" customFormat="1" ht="15.75">
      <c r="A53" s="76"/>
      <c r="B53" s="78" t="s">
        <v>21</v>
      </c>
      <c r="C53" s="77"/>
      <c r="D53" s="77"/>
      <c r="E53" s="77"/>
      <c r="F53" s="69"/>
      <c r="G53" s="37">
        <v>2583.075</v>
      </c>
      <c r="H53" s="37">
        <v>18729.612122496</v>
      </c>
      <c r="I53" s="79">
        <v>2583.08</v>
      </c>
      <c r="J53" s="79" t="e">
        <f>#REF!*1.12</f>
        <v>#REF!</v>
      </c>
      <c r="K53" s="79" t="e">
        <f>#REF!*1.12</f>
        <v>#REF!</v>
      </c>
      <c r="L53" s="79" t="e">
        <f>#REF!*1.12</f>
        <v>#REF!</v>
      </c>
      <c r="M53" s="79" t="e">
        <f>#REF!*1.12</f>
        <v>#REF!</v>
      </c>
      <c r="N53" s="79" t="e">
        <f>#REF!*1.12</f>
        <v>#REF!</v>
      </c>
      <c r="O53" s="79" t="e">
        <f>#REF!*1.12</f>
        <v>#REF!</v>
      </c>
      <c r="P53" s="79" t="e">
        <f>#REF!*1.12</f>
        <v>#REF!</v>
      </c>
      <c r="Q53" s="79" t="e">
        <f>#REF!*1.12</f>
        <v>#REF!</v>
      </c>
      <c r="R53" s="79" t="e">
        <f>#REF!*1.12</f>
        <v>#REF!</v>
      </c>
      <c r="S53" s="79" t="e">
        <f>#REF!*1.12</f>
        <v>#REF!</v>
      </c>
      <c r="T53" s="79" t="e">
        <f>#REF!*1.12</f>
        <v>#REF!</v>
      </c>
      <c r="U53" s="13" t="e">
        <f t="shared" si="18"/>
        <v>#REF!</v>
      </c>
      <c r="V53" s="37"/>
      <c r="W53" s="37">
        <v>2583</v>
      </c>
      <c r="X53" s="101"/>
      <c r="Y53" s="101"/>
    </row>
    <row r="54" spans="1:25" s="38" customFormat="1" ht="15.75">
      <c r="A54" s="76"/>
      <c r="B54" s="78" t="s">
        <v>63</v>
      </c>
      <c r="C54" s="77"/>
      <c r="D54" s="77"/>
      <c r="E54" s="77"/>
      <c r="F54" s="69"/>
      <c r="G54" s="37">
        <f>5.673+39.376</f>
        <v>45.049</v>
      </c>
      <c r="H54" s="37">
        <v>752.1281904</v>
      </c>
      <c r="I54" s="79" t="e">
        <f>#REF!*1.12</f>
        <v>#REF!</v>
      </c>
      <c r="J54" s="79" t="e">
        <f>#REF!*1.12</f>
        <v>#REF!</v>
      </c>
      <c r="K54" s="79" t="e">
        <f>#REF!*1.12</f>
        <v>#REF!</v>
      </c>
      <c r="L54" s="79" t="e">
        <f>#REF!*1.12</f>
        <v>#REF!</v>
      </c>
      <c r="M54" s="79" t="e">
        <f>#REF!*1.12</f>
        <v>#REF!</v>
      </c>
      <c r="N54" s="79" t="e">
        <f>#REF!*1.12</f>
        <v>#REF!</v>
      </c>
      <c r="O54" s="79" t="e">
        <f>#REF!*1.12</f>
        <v>#REF!</v>
      </c>
      <c r="P54" s="79" t="e">
        <f>#REF!*1.12</f>
        <v>#REF!</v>
      </c>
      <c r="Q54" s="79" t="e">
        <f>#REF!*1.12</f>
        <v>#REF!</v>
      </c>
      <c r="R54" s="79" t="e">
        <f>#REF!*1.12</f>
        <v>#REF!</v>
      </c>
      <c r="S54" s="79" t="e">
        <f>#REF!*1.12</f>
        <v>#REF!</v>
      </c>
      <c r="T54" s="79" t="e">
        <f>#REF!*1.12</f>
        <v>#REF!</v>
      </c>
      <c r="U54" s="13" t="e">
        <f t="shared" si="18"/>
        <v>#REF!</v>
      </c>
      <c r="V54" s="37"/>
      <c r="W54" s="37">
        <v>68.88</v>
      </c>
      <c r="X54" s="101"/>
      <c r="Y54" s="101"/>
    </row>
    <row r="55" spans="1:25" s="38" customFormat="1" ht="15.75">
      <c r="A55" s="76"/>
      <c r="B55" s="78" t="s">
        <v>64</v>
      </c>
      <c r="C55" s="77"/>
      <c r="D55" s="77"/>
      <c r="E55" s="77"/>
      <c r="F55" s="69"/>
      <c r="G55" s="37">
        <f>7.656+15.466</f>
        <v>23.122</v>
      </c>
      <c r="H55" s="37">
        <v>498.8056082336001</v>
      </c>
      <c r="I55" s="79">
        <v>15.466</v>
      </c>
      <c r="J55" s="79" t="e">
        <f>#REF!*1.12</f>
        <v>#REF!</v>
      </c>
      <c r="K55" s="79" t="e">
        <f>#REF!*1.12</f>
        <v>#REF!</v>
      </c>
      <c r="L55" s="79" t="e">
        <f>#REF!*1.12</f>
        <v>#REF!</v>
      </c>
      <c r="M55" s="79" t="e">
        <f>#REF!*1.12</f>
        <v>#REF!</v>
      </c>
      <c r="N55" s="79" t="e">
        <f>#REF!*1.12</f>
        <v>#REF!</v>
      </c>
      <c r="O55" s="79" t="e">
        <f>#REF!*1.12</f>
        <v>#REF!</v>
      </c>
      <c r="P55" s="79" t="e">
        <f>#REF!*1.12</f>
        <v>#REF!</v>
      </c>
      <c r="Q55" s="79" t="e">
        <f>#REF!*1.12</f>
        <v>#REF!</v>
      </c>
      <c r="R55" s="79" t="e">
        <f>#REF!*1.12</f>
        <v>#REF!</v>
      </c>
      <c r="S55" s="79" t="e">
        <f>#REF!*1.12</f>
        <v>#REF!</v>
      </c>
      <c r="T55" s="79" t="e">
        <f>#REF!*1.12</f>
        <v>#REF!</v>
      </c>
      <c r="U55" s="13" t="e">
        <f t="shared" si="18"/>
        <v>#REF!</v>
      </c>
      <c r="V55" s="37"/>
      <c r="W55" s="37">
        <v>57.07</v>
      </c>
      <c r="X55" s="101"/>
      <c r="Y55" s="101"/>
    </row>
    <row r="56" spans="1:25" s="38" customFormat="1" ht="15.75">
      <c r="A56" s="36" t="s">
        <v>71</v>
      </c>
      <c r="B56" s="15" t="s">
        <v>282</v>
      </c>
      <c r="C56" s="19" t="s">
        <v>249</v>
      </c>
      <c r="D56" s="19"/>
      <c r="E56" s="19"/>
      <c r="F56" s="8"/>
      <c r="G56" s="15">
        <v>18.01</v>
      </c>
      <c r="H56" s="15">
        <v>338.49100000000004</v>
      </c>
      <c r="I56" s="15">
        <v>18.01</v>
      </c>
      <c r="J56" s="15" t="e">
        <f>'Исполнение тар сметы'!#REF!</f>
        <v>#REF!</v>
      </c>
      <c r="K56" s="15" t="e">
        <f>'Исполнение тар сметы'!#REF!</f>
        <v>#REF!</v>
      </c>
      <c r="L56" s="15" t="e">
        <f>'Исполнение тар сметы'!#REF!</f>
        <v>#REF!</v>
      </c>
      <c r="M56" s="15" t="e">
        <f>'Исполнение тар сметы'!#REF!</f>
        <v>#REF!</v>
      </c>
      <c r="N56" s="15" t="e">
        <f>'Исполнение тар сметы'!#REF!</f>
        <v>#REF!</v>
      </c>
      <c r="O56" s="15" t="e">
        <f>'Исполнение тар сметы'!#REF!</f>
        <v>#REF!</v>
      </c>
      <c r="P56" s="15" t="e">
        <f>'Исполнение тар сметы'!#REF!</f>
        <v>#REF!</v>
      </c>
      <c r="Q56" s="15" t="e">
        <f>'Исполнение тар сметы'!#REF!</f>
        <v>#REF!</v>
      </c>
      <c r="R56" s="15" t="e">
        <f>'Исполнение тар сметы'!#REF!</f>
        <v>#REF!</v>
      </c>
      <c r="S56" s="15" t="e">
        <f>'Исполнение тар сметы'!#REF!</f>
        <v>#REF!</v>
      </c>
      <c r="T56" s="15" t="e">
        <f>'Исполнение тар сметы'!#REF!</f>
        <v>#REF!</v>
      </c>
      <c r="U56" s="13" t="e">
        <f t="shared" si="18"/>
        <v>#REF!</v>
      </c>
      <c r="V56" s="15"/>
      <c r="W56" s="15">
        <v>25.95</v>
      </c>
      <c r="X56" s="101"/>
      <c r="Y56" s="101"/>
    </row>
    <row r="57" spans="1:25" s="38" customFormat="1" ht="15.75">
      <c r="A57" s="36" t="s">
        <v>72</v>
      </c>
      <c r="B57" s="15" t="s">
        <v>283</v>
      </c>
      <c r="C57" s="19" t="s">
        <v>249</v>
      </c>
      <c r="D57" s="19"/>
      <c r="E57" s="19"/>
      <c r="F57" s="13"/>
      <c r="G57" s="13"/>
      <c r="H57" s="13">
        <v>62.1</v>
      </c>
      <c r="I57" s="15" t="e">
        <f>'Исполнение тар сметы'!#REF!</f>
        <v>#REF!</v>
      </c>
      <c r="J57" s="15" t="e">
        <f>'Исполнение тар сметы'!#REF!</f>
        <v>#REF!</v>
      </c>
      <c r="K57" s="15" t="e">
        <f>'Исполнение тар сметы'!#REF!</f>
        <v>#REF!</v>
      </c>
      <c r="L57" s="15" t="e">
        <f>'Исполнение тар сметы'!#REF!</f>
        <v>#REF!</v>
      </c>
      <c r="M57" s="15" t="e">
        <f>'Исполнение тар сметы'!#REF!</f>
        <v>#REF!</v>
      </c>
      <c r="N57" s="15" t="e">
        <f>'Исполнение тар сметы'!#REF!</f>
        <v>#REF!</v>
      </c>
      <c r="O57" s="15" t="e">
        <f>'Исполнение тар сметы'!#REF!</f>
        <v>#REF!</v>
      </c>
      <c r="P57" s="15" t="e">
        <f>'Исполнение тар сметы'!#REF!</f>
        <v>#REF!</v>
      </c>
      <c r="Q57" s="15" t="e">
        <f>'Исполнение тар сметы'!#REF!</f>
        <v>#REF!</v>
      </c>
      <c r="R57" s="15" t="e">
        <f>'Исполнение тар сметы'!#REF!</f>
        <v>#REF!</v>
      </c>
      <c r="S57" s="15" t="e">
        <f>'Исполнение тар сметы'!#REF!</f>
        <v>#REF!</v>
      </c>
      <c r="T57" s="15" t="e">
        <f>'Исполнение тар сметы'!#REF!</f>
        <v>#REF!</v>
      </c>
      <c r="U57" s="13" t="e">
        <f t="shared" si="18"/>
        <v>#REF!</v>
      </c>
      <c r="V57" s="15"/>
      <c r="W57" s="37"/>
      <c r="X57" s="101"/>
      <c r="Y57" s="101"/>
    </row>
    <row r="58" spans="1:25" s="40" customFormat="1" ht="15.75">
      <c r="A58" s="36" t="s">
        <v>73</v>
      </c>
      <c r="B58" s="15" t="s">
        <v>284</v>
      </c>
      <c r="C58" s="19" t="s">
        <v>249</v>
      </c>
      <c r="D58" s="22"/>
      <c r="E58" s="22"/>
      <c r="F58" s="93"/>
      <c r="G58" s="23"/>
      <c r="H58" s="23">
        <v>130</v>
      </c>
      <c r="I58" s="15" t="e">
        <f>'Исполнение тар сметы'!#REF!*1.12</f>
        <v>#REF!</v>
      </c>
      <c r="J58" s="15" t="e">
        <f>'Исполнение тар сметы'!#REF!*1.12</f>
        <v>#REF!</v>
      </c>
      <c r="K58" s="15" t="e">
        <f>'Исполнение тар сметы'!#REF!*1.12</f>
        <v>#REF!</v>
      </c>
      <c r="L58" s="15" t="e">
        <f>'Исполнение тар сметы'!#REF!*1.12</f>
        <v>#REF!</v>
      </c>
      <c r="M58" s="15" t="e">
        <f>'Исполнение тар сметы'!#REF!*1.12</f>
        <v>#REF!</v>
      </c>
      <c r="N58" s="15" t="e">
        <f>'Исполнение тар сметы'!#REF!*1.12</f>
        <v>#REF!</v>
      </c>
      <c r="O58" s="15" t="e">
        <f>'Исполнение тар сметы'!#REF!*1.12</f>
        <v>#REF!</v>
      </c>
      <c r="P58" s="15" t="e">
        <f>'Исполнение тар сметы'!#REF!*1.12</f>
        <v>#REF!</v>
      </c>
      <c r="Q58" s="15" t="e">
        <f>'Исполнение тар сметы'!#REF!*1.12</f>
        <v>#REF!</v>
      </c>
      <c r="R58" s="15" t="e">
        <f>'Исполнение тар сметы'!#REF!*1.12</f>
        <v>#REF!</v>
      </c>
      <c r="S58" s="15" t="e">
        <f>'Исполнение тар сметы'!#REF!*1.12</f>
        <v>#REF!</v>
      </c>
      <c r="T58" s="15" t="e">
        <f>'Исполнение тар сметы'!#REF!*1.12</f>
        <v>#REF!</v>
      </c>
      <c r="U58" s="13" t="e">
        <f aca="true" t="shared" si="19" ref="U58:U71">SUM(I58:T58)</f>
        <v>#REF!</v>
      </c>
      <c r="V58" s="39"/>
      <c r="W58" s="39"/>
      <c r="X58" s="102"/>
      <c r="Y58" s="102"/>
    </row>
    <row r="59" spans="1:24" s="42" customFormat="1" ht="15.75">
      <c r="A59" s="36" t="s">
        <v>74</v>
      </c>
      <c r="B59" s="15" t="s">
        <v>328</v>
      </c>
      <c r="C59" s="19" t="s">
        <v>249</v>
      </c>
      <c r="D59" s="19"/>
      <c r="E59" s="19"/>
      <c r="F59" s="17"/>
      <c r="G59" s="17"/>
      <c r="H59" s="17">
        <v>195.00320000000002</v>
      </c>
      <c r="I59" s="15" t="e">
        <f>'Исполнение тар сметы'!#REF!*1.12</f>
        <v>#REF!</v>
      </c>
      <c r="J59" s="15" t="e">
        <f>'Исполнение тар сметы'!#REF!*1.12</f>
        <v>#REF!</v>
      </c>
      <c r="K59" s="15" t="e">
        <f>'Исполнение тар сметы'!#REF!*1.12</f>
        <v>#REF!</v>
      </c>
      <c r="L59" s="15" t="e">
        <f>'Исполнение тар сметы'!#REF!*1.12</f>
        <v>#REF!</v>
      </c>
      <c r="M59" s="15" t="e">
        <f>'Исполнение тар сметы'!#REF!*1.12</f>
        <v>#REF!</v>
      </c>
      <c r="N59" s="15" t="e">
        <f>'Исполнение тар сметы'!#REF!*1.12</f>
        <v>#REF!</v>
      </c>
      <c r="O59" s="15" t="e">
        <f>'Исполнение тар сметы'!#REF!*1.12</f>
        <v>#REF!</v>
      </c>
      <c r="P59" s="15" t="e">
        <f>'Исполнение тар сметы'!#REF!*1.12</f>
        <v>#REF!</v>
      </c>
      <c r="Q59" s="15" t="e">
        <f>'Исполнение тар сметы'!#REF!*1.12</f>
        <v>#REF!</v>
      </c>
      <c r="R59" s="15" t="e">
        <f>'Исполнение тар сметы'!#REF!*1.12</f>
        <v>#REF!</v>
      </c>
      <c r="S59" s="15" t="e">
        <f>'Исполнение тар сметы'!#REF!*1.12</f>
        <v>#REF!</v>
      </c>
      <c r="T59" s="15" t="e">
        <f>'Исполнение тар сметы'!#REF!*1.12</f>
        <v>#REF!</v>
      </c>
      <c r="U59" s="13" t="e">
        <f t="shared" si="19"/>
        <v>#REF!</v>
      </c>
      <c r="V59" s="17"/>
      <c r="W59" s="17"/>
      <c r="X59" s="102"/>
    </row>
    <row r="60" spans="1:25" s="42" customFormat="1" ht="31.5">
      <c r="A60" s="36" t="s">
        <v>75</v>
      </c>
      <c r="B60" s="15" t="s">
        <v>329</v>
      </c>
      <c r="C60" s="19" t="s">
        <v>249</v>
      </c>
      <c r="D60" s="19"/>
      <c r="E60" s="19"/>
      <c r="F60" s="17"/>
      <c r="G60" s="13">
        <v>75</v>
      </c>
      <c r="H60" s="13">
        <v>867.6</v>
      </c>
      <c r="I60" s="13">
        <f>G60</f>
        <v>75</v>
      </c>
      <c r="J60" s="13" t="e">
        <f>'Исполнение тар сметы'!#REF!*1.12</f>
        <v>#REF!</v>
      </c>
      <c r="K60" s="13" t="e">
        <f>'Исполнение тар сметы'!#REF!*1.12</f>
        <v>#REF!</v>
      </c>
      <c r="L60" s="13" t="e">
        <f>'Исполнение тар сметы'!#REF!*1.12</f>
        <v>#REF!</v>
      </c>
      <c r="M60" s="13" t="e">
        <f>'Исполнение тар сметы'!#REF!*1.12</f>
        <v>#REF!</v>
      </c>
      <c r="N60" s="13" t="e">
        <f>'Исполнение тар сметы'!#REF!*1.12</f>
        <v>#REF!</v>
      </c>
      <c r="O60" s="13" t="e">
        <f>'Исполнение тар сметы'!#REF!*1.12</f>
        <v>#REF!</v>
      </c>
      <c r="P60" s="13" t="e">
        <f>'Исполнение тар сметы'!#REF!*1.12</f>
        <v>#REF!</v>
      </c>
      <c r="Q60" s="13" t="e">
        <f>'Исполнение тар сметы'!#REF!*1.12</f>
        <v>#REF!</v>
      </c>
      <c r="R60" s="13" t="e">
        <f>'Исполнение тар сметы'!#REF!*1.12</f>
        <v>#REF!</v>
      </c>
      <c r="S60" s="13" t="e">
        <f>'Исполнение тар сметы'!#REF!*1.12</f>
        <v>#REF!</v>
      </c>
      <c r="T60" s="13" t="e">
        <f>'Исполнение тар сметы'!#REF!*1.12</f>
        <v>#REF!</v>
      </c>
      <c r="U60" s="13" t="e">
        <f t="shared" si="19"/>
        <v>#REF!</v>
      </c>
      <c r="V60" s="17"/>
      <c r="W60" s="13">
        <v>123.1</v>
      </c>
      <c r="X60" s="102"/>
      <c r="Y60" s="107"/>
    </row>
    <row r="61" spans="1:25" s="42" customFormat="1" ht="15.75">
      <c r="A61" s="36" t="s">
        <v>76</v>
      </c>
      <c r="B61" s="15" t="s">
        <v>198</v>
      </c>
      <c r="C61" s="19" t="s">
        <v>249</v>
      </c>
      <c r="D61" s="19"/>
      <c r="E61" s="19"/>
      <c r="F61" s="13"/>
      <c r="G61" s="13">
        <v>90</v>
      </c>
      <c r="H61" s="13">
        <v>1669.7632</v>
      </c>
      <c r="I61" s="13">
        <v>90</v>
      </c>
      <c r="J61" s="13" t="e">
        <f>'Исполнение тар сметы'!#REF!*1.12</f>
        <v>#REF!</v>
      </c>
      <c r="K61" s="13" t="e">
        <f>'Исполнение тар сметы'!#REF!*1.12</f>
        <v>#REF!</v>
      </c>
      <c r="L61" s="13" t="e">
        <f>'Исполнение тар сметы'!#REF!*1.12</f>
        <v>#REF!</v>
      </c>
      <c r="M61" s="13" t="e">
        <f>'Исполнение тар сметы'!#REF!*1.12</f>
        <v>#REF!</v>
      </c>
      <c r="N61" s="13" t="e">
        <f>'Исполнение тар сметы'!#REF!*1.12</f>
        <v>#REF!</v>
      </c>
      <c r="O61" s="13" t="e">
        <f>'Исполнение тар сметы'!#REF!*1.12</f>
        <v>#REF!</v>
      </c>
      <c r="P61" s="13" t="e">
        <f>'Исполнение тар сметы'!#REF!*1.12</f>
        <v>#REF!</v>
      </c>
      <c r="Q61" s="13" t="e">
        <f>'Исполнение тар сметы'!#REF!*1.12</f>
        <v>#REF!</v>
      </c>
      <c r="R61" s="13" t="e">
        <f>'Исполнение тар сметы'!#REF!*1.12</f>
        <v>#REF!</v>
      </c>
      <c r="S61" s="13" t="e">
        <f>'Исполнение тар сметы'!#REF!*1.12</f>
        <v>#REF!</v>
      </c>
      <c r="T61" s="13" t="e">
        <f>'Исполнение тар сметы'!#REF!*1.12</f>
        <v>#REF!</v>
      </c>
      <c r="U61" s="13" t="e">
        <f t="shared" si="19"/>
        <v>#REF!</v>
      </c>
      <c r="V61" s="17"/>
      <c r="W61" s="13">
        <v>104.12</v>
      </c>
      <c r="X61" s="102"/>
      <c r="Y61" s="107"/>
    </row>
    <row r="62" spans="1:24" s="42" customFormat="1" ht="15.75">
      <c r="A62" s="36" t="s">
        <v>77</v>
      </c>
      <c r="B62" s="15" t="s">
        <v>358</v>
      </c>
      <c r="C62" s="19" t="s">
        <v>249</v>
      </c>
      <c r="D62" s="19"/>
      <c r="E62" s="19"/>
      <c r="F62" s="17"/>
      <c r="G62" s="17"/>
      <c r="H62" s="17">
        <v>12715.002467999997</v>
      </c>
      <c r="I62" s="13" t="e">
        <f>'Исполнение тар сметы'!#REF!+'Исполнение тар сметы'!#REF!</f>
        <v>#REF!</v>
      </c>
      <c r="J62" s="13" t="e">
        <f>'Исполнение тар сметы'!#REF!+'Исполнение тар сметы'!#REF!</f>
        <v>#REF!</v>
      </c>
      <c r="K62" s="13" t="e">
        <f>'Исполнение тар сметы'!#REF!+'Исполнение тар сметы'!#REF!</f>
        <v>#REF!</v>
      </c>
      <c r="L62" s="13" t="e">
        <f>'Исполнение тар сметы'!#REF!+'Исполнение тар сметы'!#REF!</f>
        <v>#REF!</v>
      </c>
      <c r="M62" s="13" t="e">
        <f>'Исполнение тар сметы'!#REF!+'Исполнение тар сметы'!#REF!</f>
        <v>#REF!</v>
      </c>
      <c r="N62" s="13" t="e">
        <f>'Исполнение тар сметы'!#REF!+'Исполнение тар сметы'!#REF!</f>
        <v>#REF!</v>
      </c>
      <c r="O62" s="13" t="e">
        <f>'Исполнение тар сметы'!#REF!+'Исполнение тар сметы'!#REF!</f>
        <v>#REF!</v>
      </c>
      <c r="P62" s="13" t="e">
        <f>'Исполнение тар сметы'!#REF!+'Исполнение тар сметы'!#REF!</f>
        <v>#REF!</v>
      </c>
      <c r="Q62" s="13" t="e">
        <f>'Исполнение тар сметы'!#REF!+'Исполнение тар сметы'!#REF!</f>
        <v>#REF!</v>
      </c>
      <c r="R62" s="13" t="e">
        <f>'Исполнение тар сметы'!#REF!+'Исполнение тар сметы'!#REF!</f>
        <v>#REF!</v>
      </c>
      <c r="S62" s="13" t="e">
        <f>'Исполнение тар сметы'!#REF!+'Исполнение тар сметы'!#REF!</f>
        <v>#REF!</v>
      </c>
      <c r="T62" s="13" t="e">
        <f>'Исполнение тар сметы'!#REF!+'Исполнение тар сметы'!#REF!</f>
        <v>#REF!</v>
      </c>
      <c r="U62" s="13" t="e">
        <f>SUM(I62:T62)</f>
        <v>#REF!</v>
      </c>
      <c r="V62" s="17"/>
      <c r="W62" s="17"/>
      <c r="X62" s="102"/>
    </row>
    <row r="63" spans="1:24" s="38" customFormat="1" ht="15.75">
      <c r="A63" s="36" t="s">
        <v>22</v>
      </c>
      <c r="B63" s="15" t="s">
        <v>359</v>
      </c>
      <c r="C63" s="19" t="s">
        <v>249</v>
      </c>
      <c r="D63" s="19"/>
      <c r="E63" s="19"/>
      <c r="F63" s="13"/>
      <c r="G63" s="13">
        <v>329.01</v>
      </c>
      <c r="H63" s="13">
        <v>1438.08</v>
      </c>
      <c r="I63" s="15">
        <v>329.01</v>
      </c>
      <c r="J63" s="15" t="e">
        <f>'Исполнение тар сметы'!#REF!*1.12+'Исполнение тар сметы'!#REF!*1.12</f>
        <v>#REF!</v>
      </c>
      <c r="K63" s="15" t="e">
        <f>'Исполнение тар сметы'!#REF!*1.12+'Исполнение тар сметы'!#REF!*1.12</f>
        <v>#REF!</v>
      </c>
      <c r="L63" s="15" t="e">
        <f>'Исполнение тар сметы'!#REF!*1.12+'Исполнение тар сметы'!#REF!*1.12</f>
        <v>#REF!</v>
      </c>
      <c r="M63" s="15" t="e">
        <f>'Исполнение тар сметы'!#REF!*1.12+'Исполнение тар сметы'!#REF!*1.12</f>
        <v>#REF!</v>
      </c>
      <c r="N63" s="15" t="e">
        <f>'Исполнение тар сметы'!#REF!*1.12+'Исполнение тар сметы'!#REF!*1.12</f>
        <v>#REF!</v>
      </c>
      <c r="O63" s="15" t="e">
        <f>'Исполнение тар сметы'!#REF!*1.12+'Исполнение тар сметы'!#REF!*1.12</f>
        <v>#REF!</v>
      </c>
      <c r="P63" s="15" t="e">
        <f>'Исполнение тар сметы'!#REF!*1.12+'Исполнение тар сметы'!#REF!*1.12</f>
        <v>#REF!</v>
      </c>
      <c r="Q63" s="15" t="e">
        <f>'Исполнение тар сметы'!#REF!*1.12+'Исполнение тар сметы'!#REF!*1.12</f>
        <v>#REF!</v>
      </c>
      <c r="R63" s="15" t="e">
        <f>'Исполнение тар сметы'!#REF!*1.12+'Исполнение тар сметы'!#REF!*1.12</f>
        <v>#REF!</v>
      </c>
      <c r="S63" s="15" t="e">
        <f>'Исполнение тар сметы'!#REF!*1.12+'Исполнение тар сметы'!#REF!*1.12</f>
        <v>#REF!</v>
      </c>
      <c r="T63" s="15" t="e">
        <f>'Исполнение тар сметы'!#REF!*1.12+'Исполнение тар сметы'!#REF!*1.12</f>
        <v>#REF!</v>
      </c>
      <c r="U63" s="13" t="e">
        <f t="shared" si="19"/>
        <v>#REF!</v>
      </c>
      <c r="V63" s="37"/>
      <c r="W63" s="15">
        <v>172.02</v>
      </c>
      <c r="X63" s="101"/>
    </row>
    <row r="64" spans="1:24" s="38" customFormat="1" ht="15.75">
      <c r="A64" s="36" t="s">
        <v>23</v>
      </c>
      <c r="B64" s="15" t="s">
        <v>360</v>
      </c>
      <c r="C64" s="19" t="s">
        <v>249</v>
      </c>
      <c r="D64" s="19"/>
      <c r="E64" s="19"/>
      <c r="F64" s="15">
        <f aca="true" t="shared" si="20" ref="F64:L64">F65+F68+F69+F70+F71+F66+F67</f>
        <v>0</v>
      </c>
      <c r="G64" s="15">
        <f t="shared" si="20"/>
        <v>2493.434</v>
      </c>
      <c r="H64" s="15">
        <v>19401.86</v>
      </c>
      <c r="I64" s="15">
        <f t="shared" si="20"/>
        <v>230.96</v>
      </c>
      <c r="J64" s="15">
        <f t="shared" si="20"/>
        <v>4602.034000000001</v>
      </c>
      <c r="K64" s="15">
        <f t="shared" si="20"/>
        <v>7347.47</v>
      </c>
      <c r="L64" s="15">
        <f t="shared" si="20"/>
        <v>5594.610000000001</v>
      </c>
      <c r="M64" s="15">
        <f aca="true" t="shared" si="21" ref="M64:T64">M65+M68+M69+M70+M71+M66+M67</f>
        <v>50.96</v>
      </c>
      <c r="N64" s="15">
        <f t="shared" si="21"/>
        <v>50.96</v>
      </c>
      <c r="O64" s="15">
        <f t="shared" si="21"/>
        <v>1817.23</v>
      </c>
      <c r="P64" s="15">
        <f t="shared" si="21"/>
        <v>1817.23</v>
      </c>
      <c r="Q64" s="15">
        <f t="shared" si="21"/>
        <v>50.96</v>
      </c>
      <c r="R64" s="15">
        <f t="shared" si="21"/>
        <v>50.96</v>
      </c>
      <c r="S64" s="15">
        <f t="shared" si="21"/>
        <v>50.96</v>
      </c>
      <c r="T64" s="15">
        <f t="shared" si="21"/>
        <v>50.96</v>
      </c>
      <c r="U64" s="13">
        <f t="shared" si="19"/>
        <v>21715.293999999994</v>
      </c>
      <c r="V64" s="37"/>
      <c r="W64" s="15"/>
      <c r="X64" s="101"/>
    </row>
    <row r="65" spans="1:24" s="85" customFormat="1" ht="15.75">
      <c r="A65" s="108"/>
      <c r="B65" s="84" t="s">
        <v>333</v>
      </c>
      <c r="C65" s="109" t="s">
        <v>249</v>
      </c>
      <c r="D65" s="109"/>
      <c r="E65" s="109"/>
      <c r="F65" s="110"/>
      <c r="G65" s="84"/>
      <c r="H65" s="84">
        <v>2894.04</v>
      </c>
      <c r="I65" s="84"/>
      <c r="J65" s="84"/>
      <c r="K65" s="84">
        <v>1447.02</v>
      </c>
      <c r="L65" s="84">
        <v>1447.02</v>
      </c>
      <c r="M65" s="84"/>
      <c r="N65" s="84"/>
      <c r="O65" s="84"/>
      <c r="P65" s="84"/>
      <c r="Q65" s="84"/>
      <c r="R65" s="84"/>
      <c r="S65" s="84"/>
      <c r="T65" s="84"/>
      <c r="U65" s="13">
        <f t="shared" si="19"/>
        <v>2894.04</v>
      </c>
      <c r="V65" s="84"/>
      <c r="W65" s="84"/>
      <c r="X65" s="62"/>
    </row>
    <row r="66" spans="1:24" s="85" customFormat="1" ht="15.75">
      <c r="A66" s="108"/>
      <c r="B66" s="84" t="s">
        <v>331</v>
      </c>
      <c r="C66" s="109" t="s">
        <v>249</v>
      </c>
      <c r="D66" s="109"/>
      <c r="E66" s="109"/>
      <c r="F66" s="110"/>
      <c r="G66" s="84"/>
      <c r="H66" s="84">
        <v>1099.5</v>
      </c>
      <c r="I66" s="84"/>
      <c r="J66" s="84"/>
      <c r="K66" s="84">
        <v>549.75</v>
      </c>
      <c r="L66" s="84">
        <v>549.75</v>
      </c>
      <c r="M66" s="84"/>
      <c r="N66" s="84"/>
      <c r="O66" s="84"/>
      <c r="P66" s="84"/>
      <c r="Q66" s="84"/>
      <c r="R66" s="84"/>
      <c r="S66" s="84"/>
      <c r="T66" s="84"/>
      <c r="U66" s="13">
        <f t="shared" si="19"/>
        <v>1099.5</v>
      </c>
      <c r="V66" s="84"/>
      <c r="W66" s="84"/>
      <c r="X66" s="62"/>
    </row>
    <row r="67" spans="1:24" s="85" customFormat="1" ht="15.75">
      <c r="A67" s="108"/>
      <c r="B67" s="84" t="s">
        <v>66</v>
      </c>
      <c r="C67" s="109" t="s">
        <v>249</v>
      </c>
      <c r="D67" s="109"/>
      <c r="E67" s="109"/>
      <c r="F67" s="110"/>
      <c r="G67" s="84"/>
      <c r="H67" s="84">
        <v>2313.06</v>
      </c>
      <c r="I67" s="84"/>
      <c r="J67" s="84">
        <v>1183.2</v>
      </c>
      <c r="K67" s="84">
        <v>1129.86</v>
      </c>
      <c r="L67" s="84"/>
      <c r="M67" s="84"/>
      <c r="N67" s="84"/>
      <c r="O67" s="84"/>
      <c r="P67" s="84"/>
      <c r="Q67" s="84"/>
      <c r="R67" s="84"/>
      <c r="S67" s="84"/>
      <c r="T67" s="84"/>
      <c r="U67" s="13">
        <f t="shared" si="19"/>
        <v>2313.06</v>
      </c>
      <c r="V67" s="84"/>
      <c r="W67" s="84"/>
      <c r="X67" s="62"/>
    </row>
    <row r="68" spans="1:24" s="85" customFormat="1" ht="15.75">
      <c r="A68" s="108"/>
      <c r="B68" s="84" t="s">
        <v>389</v>
      </c>
      <c r="C68" s="109" t="s">
        <v>249</v>
      </c>
      <c r="D68" s="109"/>
      <c r="E68" s="109"/>
      <c r="F68" s="110"/>
      <c r="G68" s="84"/>
      <c r="H68" s="84">
        <v>611.52</v>
      </c>
      <c r="I68" s="84">
        <v>50.96</v>
      </c>
      <c r="J68" s="84">
        <v>50.96</v>
      </c>
      <c r="K68" s="84">
        <v>50.96</v>
      </c>
      <c r="L68" s="84">
        <v>50.96</v>
      </c>
      <c r="M68" s="84">
        <v>50.96</v>
      </c>
      <c r="N68" s="84">
        <v>50.96</v>
      </c>
      <c r="O68" s="84">
        <v>50.96</v>
      </c>
      <c r="P68" s="84">
        <v>50.96</v>
      </c>
      <c r="Q68" s="84">
        <v>50.96</v>
      </c>
      <c r="R68" s="84">
        <v>50.96</v>
      </c>
      <c r="S68" s="84">
        <v>50.96</v>
      </c>
      <c r="T68" s="84">
        <v>50.96</v>
      </c>
      <c r="U68" s="13">
        <f t="shared" si="19"/>
        <v>611.52</v>
      </c>
      <c r="V68" s="84"/>
      <c r="W68" s="84"/>
      <c r="X68" s="62"/>
    </row>
    <row r="69" spans="1:24" s="85" customFormat="1" ht="15.75">
      <c r="A69" s="108"/>
      <c r="B69" s="84" t="s">
        <v>334</v>
      </c>
      <c r="C69" s="109" t="s">
        <v>249</v>
      </c>
      <c r="D69" s="109"/>
      <c r="E69" s="109"/>
      <c r="F69" s="110"/>
      <c r="G69" s="84">
        <v>2313.434</v>
      </c>
      <c r="H69" s="84">
        <v>10626.3</v>
      </c>
      <c r="I69" s="84"/>
      <c r="J69" s="84">
        <f>G69</f>
        <v>2313.434</v>
      </c>
      <c r="K69" s="84">
        <v>3546.88</v>
      </c>
      <c r="L69" s="84">
        <v>3546.88</v>
      </c>
      <c r="M69" s="84"/>
      <c r="N69" s="84"/>
      <c r="O69" s="84">
        <v>1766.27</v>
      </c>
      <c r="P69" s="84">
        <v>1766.27</v>
      </c>
      <c r="Q69" s="84"/>
      <c r="R69" s="84"/>
      <c r="S69" s="84"/>
      <c r="T69" s="84"/>
      <c r="U69" s="13">
        <f t="shared" si="19"/>
        <v>12939.734</v>
      </c>
      <c r="V69" s="84"/>
      <c r="W69" s="84"/>
      <c r="X69" s="62"/>
    </row>
    <row r="70" spans="1:24" s="85" customFormat="1" ht="15.75">
      <c r="A70" s="108"/>
      <c r="B70" s="84" t="s">
        <v>65</v>
      </c>
      <c r="C70" s="109" t="s">
        <v>249</v>
      </c>
      <c r="D70" s="109"/>
      <c r="E70" s="109"/>
      <c r="F70" s="110"/>
      <c r="G70" s="84"/>
      <c r="H70" s="84">
        <v>623</v>
      </c>
      <c r="I70" s="84"/>
      <c r="J70" s="84"/>
      <c r="K70" s="84">
        <v>623</v>
      </c>
      <c r="L70" s="84"/>
      <c r="M70" s="84"/>
      <c r="N70" s="84"/>
      <c r="O70" s="84"/>
      <c r="P70" s="84"/>
      <c r="Q70" s="84"/>
      <c r="R70" s="84"/>
      <c r="S70" s="84"/>
      <c r="T70" s="84"/>
      <c r="U70" s="13">
        <f t="shared" si="19"/>
        <v>623</v>
      </c>
      <c r="V70" s="84"/>
      <c r="W70" s="84"/>
      <c r="X70" s="62"/>
    </row>
    <row r="71" spans="1:24" s="85" customFormat="1" ht="15.75">
      <c r="A71" s="108"/>
      <c r="B71" s="84" t="s">
        <v>332</v>
      </c>
      <c r="C71" s="109" t="s">
        <v>249</v>
      </c>
      <c r="D71" s="109"/>
      <c r="E71" s="109"/>
      <c r="F71" s="110"/>
      <c r="G71" s="84">
        <v>180</v>
      </c>
      <c r="H71" s="84">
        <v>1234.44</v>
      </c>
      <c r="I71" s="84">
        <v>180</v>
      </c>
      <c r="J71" s="84">
        <v>1054.44</v>
      </c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13">
        <f t="shared" si="19"/>
        <v>1234.44</v>
      </c>
      <c r="V71" s="84"/>
      <c r="W71" s="84"/>
      <c r="X71" s="62"/>
    </row>
    <row r="72" spans="1:24" s="38" customFormat="1" ht="15.75">
      <c r="A72" s="36" t="s">
        <v>24</v>
      </c>
      <c r="B72" s="15" t="s">
        <v>361</v>
      </c>
      <c r="C72" s="19" t="s">
        <v>249</v>
      </c>
      <c r="D72" s="19"/>
      <c r="E72" s="19"/>
      <c r="F72" s="13"/>
      <c r="G72" s="15"/>
      <c r="H72" s="15">
        <v>2673.574</v>
      </c>
      <c r="I72" s="15" t="e">
        <f>'Исполнение тар сметы'!#REF!*1.12</f>
        <v>#REF!</v>
      </c>
      <c r="J72" s="15" t="e">
        <f>'Исполнение тар сметы'!#REF!*1.12</f>
        <v>#REF!</v>
      </c>
      <c r="K72" s="15" t="e">
        <f>'Исполнение тар сметы'!#REF!*1.12</f>
        <v>#REF!</v>
      </c>
      <c r="L72" s="15" t="e">
        <f>'Исполнение тар сметы'!#REF!*1.12</f>
        <v>#REF!</v>
      </c>
      <c r="M72" s="15" t="e">
        <f>'Исполнение тар сметы'!#REF!*1.12</f>
        <v>#REF!</v>
      </c>
      <c r="N72" s="15" t="e">
        <f>'Исполнение тар сметы'!#REF!*1.12</f>
        <v>#REF!</v>
      </c>
      <c r="O72" s="15" t="e">
        <f>'Исполнение тар сметы'!#REF!*1.12</f>
        <v>#REF!</v>
      </c>
      <c r="P72" s="15" t="e">
        <f>'Исполнение тар сметы'!#REF!*1.12</f>
        <v>#REF!</v>
      </c>
      <c r="Q72" s="15" t="e">
        <f>'Исполнение тар сметы'!#REF!*1.12</f>
        <v>#REF!</v>
      </c>
      <c r="R72" s="15" t="e">
        <f>'Исполнение тар сметы'!#REF!*1.12</f>
        <v>#REF!</v>
      </c>
      <c r="S72" s="15" t="e">
        <f>'Исполнение тар сметы'!#REF!*1.12</f>
        <v>#REF!</v>
      </c>
      <c r="T72" s="15" t="e">
        <f>'Исполнение тар сметы'!#REF!*1.12</f>
        <v>#REF!</v>
      </c>
      <c r="U72" s="13" t="e">
        <f>SUM(I72:T72)</f>
        <v>#REF!</v>
      </c>
      <c r="V72" s="37"/>
      <c r="W72" s="15"/>
      <c r="X72" s="101"/>
    </row>
    <row r="73" spans="1:24" s="38" customFormat="1" ht="15.75">
      <c r="A73" s="36" t="s">
        <v>25</v>
      </c>
      <c r="B73" s="15" t="s">
        <v>362</v>
      </c>
      <c r="C73" s="19" t="s">
        <v>249</v>
      </c>
      <c r="D73" s="19"/>
      <c r="E73" s="19"/>
      <c r="F73" s="13">
        <v>200</v>
      </c>
      <c r="G73" s="15"/>
      <c r="H73" s="15">
        <v>7295.367</v>
      </c>
      <c r="I73" s="15"/>
      <c r="J73" s="15">
        <v>2600</v>
      </c>
      <c r="K73" s="15"/>
      <c r="L73" s="15">
        <v>2600</v>
      </c>
      <c r="M73" s="15"/>
      <c r="N73" s="15">
        <v>2600</v>
      </c>
      <c r="O73" s="15"/>
      <c r="P73" s="15"/>
      <c r="Q73" s="15"/>
      <c r="R73" s="15"/>
      <c r="S73" s="15"/>
      <c r="T73" s="15"/>
      <c r="U73" s="13">
        <f>SUM(I73:T73)</f>
        <v>7800</v>
      </c>
      <c r="V73" s="15">
        <v>200</v>
      </c>
      <c r="W73" s="15"/>
      <c r="X73" s="101"/>
    </row>
    <row r="74" spans="1:25" ht="15.75">
      <c r="A74" s="36" t="s">
        <v>26</v>
      </c>
      <c r="B74" s="15" t="s">
        <v>363</v>
      </c>
      <c r="C74" s="19" t="s">
        <v>249</v>
      </c>
      <c r="D74" s="6"/>
      <c r="E74" s="6"/>
      <c r="F74" s="15">
        <v>300</v>
      </c>
      <c r="G74" s="15">
        <v>34.978</v>
      </c>
      <c r="H74" s="14">
        <v>3256.065</v>
      </c>
      <c r="I74" s="15" t="e">
        <f>'Исполнение тар сметы'!#REF!</f>
        <v>#REF!</v>
      </c>
      <c r="J74" s="15" t="e">
        <f>'Исполнение тар сметы'!#REF!</f>
        <v>#REF!</v>
      </c>
      <c r="K74" s="15" t="e">
        <f>'Исполнение тар сметы'!#REF!</f>
        <v>#REF!</v>
      </c>
      <c r="L74" s="15" t="e">
        <f>'Исполнение тар сметы'!#REF!</f>
        <v>#REF!</v>
      </c>
      <c r="M74" s="15" t="e">
        <f>'Исполнение тар сметы'!#REF!</f>
        <v>#REF!</v>
      </c>
      <c r="N74" s="15" t="e">
        <f>'Исполнение тар сметы'!#REF!</f>
        <v>#REF!</v>
      </c>
      <c r="O74" s="15" t="e">
        <f>'Исполнение тар сметы'!#REF!</f>
        <v>#REF!</v>
      </c>
      <c r="P74" s="15" t="e">
        <f>'Исполнение тар сметы'!#REF!</f>
        <v>#REF!</v>
      </c>
      <c r="Q74" s="15" t="e">
        <f>'Исполнение тар сметы'!#REF!</f>
        <v>#REF!</v>
      </c>
      <c r="R74" s="15" t="e">
        <f>'Исполнение тар сметы'!#REF!</f>
        <v>#REF!</v>
      </c>
      <c r="S74" s="15" t="e">
        <f>'Исполнение тар сметы'!#REF!</f>
        <v>#REF!</v>
      </c>
      <c r="T74" s="15" t="e">
        <f>'Исполнение тар сметы'!#REF!</f>
        <v>#REF!</v>
      </c>
      <c r="U74" s="13" t="e">
        <f>SUM(I74:T74)</f>
        <v>#REF!</v>
      </c>
      <c r="V74" s="15"/>
      <c r="W74" s="14"/>
      <c r="X74" s="101"/>
      <c r="Y74" s="5"/>
    </row>
    <row r="75" spans="1:23" ht="15.75">
      <c r="A75" s="36" t="s">
        <v>27</v>
      </c>
      <c r="B75" s="15" t="s">
        <v>364</v>
      </c>
      <c r="C75" s="19" t="s">
        <v>249</v>
      </c>
      <c r="D75" s="19"/>
      <c r="E75" s="19"/>
      <c r="F75" s="12"/>
      <c r="G75" s="13">
        <v>12.37</v>
      </c>
      <c r="H75" s="13">
        <v>489.22607999999997</v>
      </c>
      <c r="I75" s="44">
        <f>G75</f>
        <v>12.37</v>
      </c>
      <c r="J75" s="44" t="e">
        <f>'Исполнение тар сметы'!#REF!*1.12</f>
        <v>#REF!</v>
      </c>
      <c r="K75" s="44" t="e">
        <f>'Исполнение тар сметы'!#REF!*1.12</f>
        <v>#REF!</v>
      </c>
      <c r="L75" s="44" t="e">
        <f>'Исполнение тар сметы'!#REF!*1.12</f>
        <v>#REF!</v>
      </c>
      <c r="M75" s="44" t="e">
        <f>'Исполнение тар сметы'!#REF!*1.12</f>
        <v>#REF!</v>
      </c>
      <c r="N75" s="44" t="e">
        <f>'Исполнение тар сметы'!#REF!*1.12</f>
        <v>#REF!</v>
      </c>
      <c r="O75" s="44" t="e">
        <f>'Исполнение тар сметы'!#REF!*1.12</f>
        <v>#REF!</v>
      </c>
      <c r="P75" s="44" t="e">
        <f>'Исполнение тар сметы'!#REF!*1.12</f>
        <v>#REF!</v>
      </c>
      <c r="Q75" s="44" t="e">
        <f>'Исполнение тар сметы'!#REF!*1.12</f>
        <v>#REF!</v>
      </c>
      <c r="R75" s="44" t="e">
        <f>'Исполнение тар сметы'!#REF!*1.12</f>
        <v>#REF!</v>
      </c>
      <c r="S75" s="44" t="e">
        <f>'Исполнение тар сметы'!#REF!*1.12</f>
        <v>#REF!</v>
      </c>
      <c r="T75" s="44" t="e">
        <f>'Исполнение тар сметы'!#REF!*1.12</f>
        <v>#REF!</v>
      </c>
      <c r="U75" s="13" t="e">
        <f>SUM(I75:T75)</f>
        <v>#REF!</v>
      </c>
      <c r="V75" s="15"/>
      <c r="W75" s="15">
        <v>63.75</v>
      </c>
    </row>
    <row r="76" spans="1:23" ht="15.75">
      <c r="A76" s="36" t="s">
        <v>28</v>
      </c>
      <c r="B76" s="57" t="s">
        <v>365</v>
      </c>
      <c r="C76" s="19" t="s">
        <v>249</v>
      </c>
      <c r="D76" s="19"/>
      <c r="E76" s="19"/>
      <c r="F76" s="13"/>
      <c r="G76" s="13"/>
      <c r="H76" s="13">
        <v>382.38</v>
      </c>
      <c r="I76" s="44" t="e">
        <f>'Исполнение тар сметы'!#REF!*1.12+'Исполнение тар сметы'!#REF!*1.12</f>
        <v>#REF!</v>
      </c>
      <c r="J76" s="44" t="e">
        <f>'Исполнение тар сметы'!#REF!*1.12+'Исполнение тар сметы'!#REF!*1.12</f>
        <v>#REF!</v>
      </c>
      <c r="K76" s="44" t="e">
        <f>'Исполнение тар сметы'!#REF!*1.12+'Исполнение тар сметы'!#REF!*1.12</f>
        <v>#REF!</v>
      </c>
      <c r="L76" s="44" t="e">
        <f>'Исполнение тар сметы'!#REF!*1.12+'Исполнение тар сметы'!#REF!*1.12</f>
        <v>#REF!</v>
      </c>
      <c r="M76" s="44" t="e">
        <f>'Исполнение тар сметы'!#REF!*1.12+'Исполнение тар сметы'!#REF!*1.12</f>
        <v>#REF!</v>
      </c>
      <c r="N76" s="44" t="e">
        <f>'Исполнение тар сметы'!#REF!*1.12+'Исполнение тар сметы'!#REF!*1.12</f>
        <v>#REF!</v>
      </c>
      <c r="O76" s="44" t="e">
        <f>'Исполнение тар сметы'!#REF!*1.12+'Исполнение тар сметы'!#REF!*1.12</f>
        <v>#REF!</v>
      </c>
      <c r="P76" s="44" t="e">
        <f>'Исполнение тар сметы'!#REF!*1.12+'Исполнение тар сметы'!#REF!*1.12</f>
        <v>#REF!</v>
      </c>
      <c r="Q76" s="44" t="e">
        <f>'Исполнение тар сметы'!#REF!*1.12+'Исполнение тар сметы'!#REF!*1.12</f>
        <v>#REF!</v>
      </c>
      <c r="R76" s="44" t="e">
        <f>'Исполнение тар сметы'!#REF!*1.12+'Исполнение тар сметы'!#REF!*1.12</f>
        <v>#REF!</v>
      </c>
      <c r="S76" s="44" t="e">
        <f>'Исполнение тар сметы'!#REF!*1.12+'Исполнение тар сметы'!#REF!*1.12</f>
        <v>#REF!</v>
      </c>
      <c r="T76" s="44" t="e">
        <f>'Исполнение тар сметы'!#REF!*1.12+'Исполнение тар сметы'!#REF!*1.12</f>
        <v>#REF!</v>
      </c>
      <c r="U76" s="13" t="e">
        <f>SUM(I76:T76)</f>
        <v>#REF!</v>
      </c>
      <c r="V76" s="15"/>
      <c r="W76" s="15"/>
    </row>
    <row r="77" spans="1:23" ht="15.75">
      <c r="A77" s="36" t="s">
        <v>29</v>
      </c>
      <c r="B77" s="1" t="s">
        <v>335</v>
      </c>
      <c r="C77" s="19" t="s">
        <v>249</v>
      </c>
      <c r="D77" s="19"/>
      <c r="E77" s="19"/>
      <c r="F77" s="12"/>
      <c r="G77" s="12"/>
      <c r="H77" s="12">
        <v>298.9952</v>
      </c>
      <c r="I77" s="44" t="e">
        <f>'Исполнение тар сметы'!#REF!*1.12</f>
        <v>#REF!</v>
      </c>
      <c r="J77" s="44" t="e">
        <f>'Исполнение тар сметы'!#REF!*1.12</f>
        <v>#REF!</v>
      </c>
      <c r="K77" s="44" t="e">
        <f>'Исполнение тар сметы'!#REF!*1.12</f>
        <v>#REF!</v>
      </c>
      <c r="L77" s="44" t="e">
        <f>'Исполнение тар сметы'!#REF!*1.12</f>
        <v>#REF!</v>
      </c>
      <c r="M77" s="44" t="e">
        <f>'Исполнение тар сметы'!#REF!*1.12</f>
        <v>#REF!</v>
      </c>
      <c r="N77" s="44" t="e">
        <f>'Исполнение тар сметы'!#REF!*1.12</f>
        <v>#REF!</v>
      </c>
      <c r="O77" s="44" t="e">
        <f>'Исполнение тар сметы'!#REF!*1.12</f>
        <v>#REF!</v>
      </c>
      <c r="P77" s="44" t="e">
        <f>'Исполнение тар сметы'!#REF!*1.12</f>
        <v>#REF!</v>
      </c>
      <c r="Q77" s="44" t="e">
        <f>'Исполнение тар сметы'!#REF!*1.12</f>
        <v>#REF!</v>
      </c>
      <c r="R77" s="44" t="e">
        <f>'Исполнение тар сметы'!#REF!*1.12</f>
        <v>#REF!</v>
      </c>
      <c r="S77" s="44" t="e">
        <f>'Исполнение тар сметы'!#REF!*1.12</f>
        <v>#REF!</v>
      </c>
      <c r="T77" s="44" t="e">
        <f>'Исполнение тар сметы'!#REF!*1.12</f>
        <v>#REF!</v>
      </c>
      <c r="U77" s="13" t="e">
        <f aca="true" t="shared" si="22" ref="U77:U82">SUM(I77:T77)</f>
        <v>#REF!</v>
      </c>
      <c r="V77" s="15"/>
      <c r="W77" s="15"/>
    </row>
    <row r="78" spans="1:23" ht="15.75">
      <c r="A78" s="36" t="s">
        <v>30</v>
      </c>
      <c r="B78" s="1" t="s">
        <v>336</v>
      </c>
      <c r="C78" s="19" t="s">
        <v>249</v>
      </c>
      <c r="D78" s="19"/>
      <c r="E78" s="19"/>
      <c r="F78" s="12"/>
      <c r="G78" s="12"/>
      <c r="H78" s="12">
        <v>268.8552</v>
      </c>
      <c r="I78" s="44">
        <v>20</v>
      </c>
      <c r="J78" s="44" t="e">
        <f>'Исполнение тар сметы'!#REF!</f>
        <v>#REF!</v>
      </c>
      <c r="K78" s="44" t="e">
        <f>'Исполнение тар сметы'!#REF!</f>
        <v>#REF!</v>
      </c>
      <c r="L78" s="44" t="e">
        <f>'Исполнение тар сметы'!#REF!</f>
        <v>#REF!</v>
      </c>
      <c r="M78" s="44" t="e">
        <f>'Исполнение тар сметы'!#REF!</f>
        <v>#REF!</v>
      </c>
      <c r="N78" s="44" t="e">
        <f>'Исполнение тар сметы'!#REF!</f>
        <v>#REF!</v>
      </c>
      <c r="O78" s="44" t="e">
        <f>'Исполнение тар сметы'!#REF!</f>
        <v>#REF!</v>
      </c>
      <c r="P78" s="44">
        <f>21.458+19.206*1.12</f>
        <v>42.968720000000005</v>
      </c>
      <c r="Q78" s="44" t="e">
        <f>'Исполнение тар сметы'!#REF!</f>
        <v>#REF!</v>
      </c>
      <c r="R78" s="44" t="e">
        <f>'Исполнение тар сметы'!#REF!</f>
        <v>#REF!</v>
      </c>
      <c r="S78" s="44" t="e">
        <f>'Исполнение тар сметы'!#REF!</f>
        <v>#REF!</v>
      </c>
      <c r="T78" s="44" t="e">
        <f>'Исполнение тар сметы'!#REF!</f>
        <v>#REF!</v>
      </c>
      <c r="U78" s="13" t="e">
        <f t="shared" si="22"/>
        <v>#REF!</v>
      </c>
      <c r="V78" s="15"/>
      <c r="W78" s="15"/>
    </row>
    <row r="79" spans="1:23" ht="15.75" hidden="1">
      <c r="A79" s="36"/>
      <c r="B79" s="1"/>
      <c r="C79" s="19"/>
      <c r="D79" s="19"/>
      <c r="E79" s="19"/>
      <c r="F79" s="12"/>
      <c r="G79" s="17"/>
      <c r="H79" s="17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13"/>
      <c r="V79" s="15"/>
      <c r="W79" s="15"/>
    </row>
    <row r="80" spans="1:24" ht="15.75">
      <c r="A80" s="36" t="s">
        <v>31</v>
      </c>
      <c r="B80" s="1" t="s">
        <v>337</v>
      </c>
      <c r="C80" s="19" t="s">
        <v>249</v>
      </c>
      <c r="D80" s="19"/>
      <c r="E80" s="19"/>
      <c r="F80" s="8"/>
      <c r="G80" s="8"/>
      <c r="H80" s="8">
        <v>159.77800000000002</v>
      </c>
      <c r="I80" s="15" t="e">
        <f>'Исполнение тар сметы'!#REF!</f>
        <v>#REF!</v>
      </c>
      <c r="J80" s="15" t="e">
        <f>'Исполнение тар сметы'!#REF!</f>
        <v>#REF!</v>
      </c>
      <c r="K80" s="15" t="e">
        <f>'Исполнение тар сметы'!#REF!</f>
        <v>#REF!</v>
      </c>
      <c r="L80" s="15" t="e">
        <f>'Исполнение тар сметы'!#REF!</f>
        <v>#REF!</v>
      </c>
      <c r="M80" s="15" t="e">
        <f>'Исполнение тар сметы'!#REF!</f>
        <v>#REF!</v>
      </c>
      <c r="N80" s="15" t="e">
        <f>'Исполнение тар сметы'!#REF!</f>
        <v>#REF!</v>
      </c>
      <c r="O80" s="15" t="e">
        <f>'Исполнение тар сметы'!#REF!</f>
        <v>#REF!</v>
      </c>
      <c r="P80" s="15" t="e">
        <f>'Исполнение тар сметы'!#REF!</f>
        <v>#REF!</v>
      </c>
      <c r="Q80" s="15" t="e">
        <f>'Исполнение тар сметы'!#REF!</f>
        <v>#REF!</v>
      </c>
      <c r="R80" s="15" t="e">
        <f>'Исполнение тар сметы'!#REF!</f>
        <v>#REF!</v>
      </c>
      <c r="S80" s="15" t="e">
        <f>'Исполнение тар сметы'!#REF!</f>
        <v>#REF!</v>
      </c>
      <c r="T80" s="15" t="e">
        <f>'Исполнение тар сметы'!#REF!</f>
        <v>#REF!</v>
      </c>
      <c r="U80" s="13" t="e">
        <f t="shared" si="22"/>
        <v>#REF!</v>
      </c>
      <c r="V80" s="15"/>
      <c r="W80" s="15"/>
      <c r="X80" s="5"/>
    </row>
    <row r="81" spans="1:23" ht="15.75" hidden="1">
      <c r="A81" s="36" t="s">
        <v>33</v>
      </c>
      <c r="B81" s="1"/>
      <c r="C81" s="19" t="s">
        <v>249</v>
      </c>
      <c r="D81" s="19"/>
      <c r="E81" s="19"/>
      <c r="F81" s="8"/>
      <c r="G81" s="13"/>
      <c r="H81" s="13">
        <v>0</v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3">
        <f t="shared" si="22"/>
        <v>0</v>
      </c>
      <c r="V81" s="15"/>
      <c r="W81" s="15"/>
    </row>
    <row r="82" spans="1:24" ht="31.5">
      <c r="A82" s="36" t="s">
        <v>32</v>
      </c>
      <c r="B82" s="1" t="s">
        <v>338</v>
      </c>
      <c r="C82" s="19" t="s">
        <v>249</v>
      </c>
      <c r="D82" s="19"/>
      <c r="E82" s="19"/>
      <c r="F82" s="13"/>
      <c r="G82" s="13"/>
      <c r="H82" s="13">
        <v>104.55200000000002</v>
      </c>
      <c r="I82" s="15" t="e">
        <f>'Исполнение тар сметы'!#REF!*1.12</f>
        <v>#REF!</v>
      </c>
      <c r="J82" s="15" t="e">
        <f>'Исполнение тар сметы'!#REF!*1.12</f>
        <v>#REF!</v>
      </c>
      <c r="K82" s="15" t="e">
        <f>'Исполнение тар сметы'!#REF!*1.12</f>
        <v>#REF!</v>
      </c>
      <c r="L82" s="15" t="e">
        <f>'Исполнение тар сметы'!#REF!*1.12</f>
        <v>#REF!</v>
      </c>
      <c r="M82" s="15" t="e">
        <f>'Исполнение тар сметы'!#REF!*1.12</f>
        <v>#REF!</v>
      </c>
      <c r="N82" s="15" t="e">
        <f>'Исполнение тар сметы'!#REF!*1.12</f>
        <v>#REF!</v>
      </c>
      <c r="O82" s="15" t="e">
        <f>'Исполнение тар сметы'!#REF!*1.12</f>
        <v>#REF!</v>
      </c>
      <c r="P82" s="15" t="e">
        <f>'Исполнение тар сметы'!#REF!*1.12</f>
        <v>#REF!</v>
      </c>
      <c r="Q82" s="15" t="e">
        <f>'Исполнение тар сметы'!#REF!*1.12</f>
        <v>#REF!</v>
      </c>
      <c r="R82" s="15" t="e">
        <f>'Исполнение тар сметы'!#REF!*1.12</f>
        <v>#REF!</v>
      </c>
      <c r="S82" s="15" t="e">
        <f>'Исполнение тар сметы'!#REF!*1.12</f>
        <v>#REF!</v>
      </c>
      <c r="T82" s="15" t="e">
        <f>'Исполнение тар сметы'!#REF!*1.12</f>
        <v>#REF!</v>
      </c>
      <c r="U82" s="13" t="e">
        <f t="shared" si="22"/>
        <v>#REF!</v>
      </c>
      <c r="V82" s="15"/>
      <c r="W82" s="15"/>
      <c r="X82" s="5"/>
    </row>
    <row r="83" spans="1:24" ht="15.75" hidden="1">
      <c r="A83" s="36"/>
      <c r="B83" s="1"/>
      <c r="C83" s="19"/>
      <c r="D83" s="19"/>
      <c r="E83" s="19"/>
      <c r="F83" s="13"/>
      <c r="G83" s="13"/>
      <c r="H83" s="13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3"/>
      <c r="V83" s="15"/>
      <c r="W83" s="15"/>
      <c r="X83" s="5"/>
    </row>
    <row r="84" spans="1:23" ht="15.75">
      <c r="A84" s="36" t="s">
        <v>33</v>
      </c>
      <c r="B84" s="1" t="s">
        <v>301</v>
      </c>
      <c r="C84" s="19" t="s">
        <v>249</v>
      </c>
      <c r="D84" s="19"/>
      <c r="E84" s="19"/>
      <c r="F84" s="8"/>
      <c r="G84" s="8"/>
      <c r="H84" s="8">
        <v>223.07608000000005</v>
      </c>
      <c r="I84" s="15" t="e">
        <f>'Исполнение тар сметы'!#REF!*1.12</f>
        <v>#REF!</v>
      </c>
      <c r="J84" s="15" t="e">
        <f>'Исполнение тар сметы'!#REF!*1.12</f>
        <v>#REF!</v>
      </c>
      <c r="K84" s="15" t="e">
        <f>'Исполнение тар сметы'!#REF!*1.12</f>
        <v>#REF!</v>
      </c>
      <c r="L84" s="15" t="e">
        <f>'Исполнение тар сметы'!#REF!*1.12</f>
        <v>#REF!</v>
      </c>
      <c r="M84" s="15" t="e">
        <f>'Исполнение тар сметы'!#REF!*1.12</f>
        <v>#REF!</v>
      </c>
      <c r="N84" s="15" t="e">
        <f>'Исполнение тар сметы'!#REF!*1.12</f>
        <v>#REF!</v>
      </c>
      <c r="O84" s="15" t="e">
        <f>'Исполнение тар сметы'!#REF!*1.12</f>
        <v>#REF!</v>
      </c>
      <c r="P84" s="15" t="e">
        <f>'Исполнение тар сметы'!#REF!*1.12</f>
        <v>#REF!</v>
      </c>
      <c r="Q84" s="15" t="e">
        <f>'Исполнение тар сметы'!#REF!*1.12</f>
        <v>#REF!</v>
      </c>
      <c r="R84" s="15" t="e">
        <f>'Исполнение тар сметы'!#REF!*1.12</f>
        <v>#REF!</v>
      </c>
      <c r="S84" s="15" t="e">
        <f>'Исполнение тар сметы'!#REF!*1.12</f>
        <v>#REF!</v>
      </c>
      <c r="T84" s="15" t="e">
        <f>'Исполнение тар сметы'!#REF!*1.12</f>
        <v>#REF!</v>
      </c>
      <c r="U84" s="13" t="e">
        <f aca="true" t="shared" si="23" ref="U84:U89">SUM(I84:T84)</f>
        <v>#REF!</v>
      </c>
      <c r="V84" s="15"/>
      <c r="W84" s="15"/>
    </row>
    <row r="85" spans="1:24" ht="15.75">
      <c r="A85" s="36" t="s">
        <v>34</v>
      </c>
      <c r="B85" s="1" t="s">
        <v>404</v>
      </c>
      <c r="C85" s="19" t="s">
        <v>249</v>
      </c>
      <c r="D85" s="19"/>
      <c r="E85" s="19"/>
      <c r="F85" s="8"/>
      <c r="G85" s="13">
        <v>36</v>
      </c>
      <c r="H85" s="13">
        <v>605.1840000000002</v>
      </c>
      <c r="I85" s="15">
        <f>G85</f>
        <v>36</v>
      </c>
      <c r="J85" s="15" t="e">
        <f>'Исполнение тар сметы'!#REF!*1.12</f>
        <v>#REF!</v>
      </c>
      <c r="K85" s="15" t="e">
        <f>'Исполнение тар сметы'!#REF!*1.12</f>
        <v>#REF!</v>
      </c>
      <c r="L85" s="15" t="e">
        <f>'Исполнение тар сметы'!#REF!*1.12</f>
        <v>#REF!</v>
      </c>
      <c r="M85" s="15" t="e">
        <f>'Исполнение тар сметы'!#REF!*1.12</f>
        <v>#REF!</v>
      </c>
      <c r="N85" s="15" t="e">
        <f>'Исполнение тар сметы'!#REF!*1.12</f>
        <v>#REF!</v>
      </c>
      <c r="O85" s="15" t="e">
        <f>'Исполнение тар сметы'!#REF!*1.12</f>
        <v>#REF!</v>
      </c>
      <c r="P85" s="15" t="e">
        <f>'Исполнение тар сметы'!#REF!*1.12</f>
        <v>#REF!</v>
      </c>
      <c r="Q85" s="15" t="e">
        <f>'Исполнение тар сметы'!#REF!*1.12</f>
        <v>#REF!</v>
      </c>
      <c r="R85" s="15" t="e">
        <f>'Исполнение тар сметы'!#REF!*1.12</f>
        <v>#REF!</v>
      </c>
      <c r="S85" s="15" t="e">
        <f>'Исполнение тар сметы'!#REF!*1.12</f>
        <v>#REF!</v>
      </c>
      <c r="T85" s="15" t="e">
        <f>'Исполнение тар сметы'!#REF!*1.12</f>
        <v>#REF!</v>
      </c>
      <c r="U85" s="13" t="e">
        <f t="shared" si="23"/>
        <v>#REF!</v>
      </c>
      <c r="V85" s="15"/>
      <c r="W85" s="15"/>
      <c r="X85" s="5"/>
    </row>
    <row r="86" spans="1:24" ht="15.75">
      <c r="A86" s="36" t="s">
        <v>35</v>
      </c>
      <c r="B86" s="1" t="s">
        <v>275</v>
      </c>
      <c r="C86" s="19" t="s">
        <v>249</v>
      </c>
      <c r="D86" s="19"/>
      <c r="E86" s="19"/>
      <c r="F86" s="8"/>
      <c r="G86" s="13"/>
      <c r="H86" s="13">
        <v>210.71</v>
      </c>
      <c r="I86" s="15" t="e">
        <f>'Исполнение тар сметы'!#REF!</f>
        <v>#REF!</v>
      </c>
      <c r="J86" s="15" t="e">
        <f>'Исполнение тар сметы'!#REF!</f>
        <v>#REF!</v>
      </c>
      <c r="K86" s="15" t="e">
        <f>'Исполнение тар сметы'!#REF!</f>
        <v>#REF!</v>
      </c>
      <c r="L86" s="15" t="e">
        <f>'Исполнение тар сметы'!#REF!</f>
        <v>#REF!</v>
      </c>
      <c r="M86" s="15" t="e">
        <f>'Исполнение тар сметы'!#REF!</f>
        <v>#REF!</v>
      </c>
      <c r="N86" s="15" t="e">
        <f>'Исполнение тар сметы'!#REF!</f>
        <v>#REF!</v>
      </c>
      <c r="O86" s="15" t="e">
        <f>'Исполнение тар сметы'!#REF!</f>
        <v>#REF!</v>
      </c>
      <c r="P86" s="15" t="e">
        <f>'Исполнение тар сметы'!#REF!</f>
        <v>#REF!</v>
      </c>
      <c r="Q86" s="15" t="e">
        <f>'Исполнение тар сметы'!#REF!</f>
        <v>#REF!</v>
      </c>
      <c r="R86" s="15" t="e">
        <f>'Исполнение тар сметы'!#REF!</f>
        <v>#REF!</v>
      </c>
      <c r="S86" s="15" t="e">
        <f>'Исполнение тар сметы'!#REF!</f>
        <v>#REF!</v>
      </c>
      <c r="T86" s="15" t="e">
        <f>'Исполнение тар сметы'!#REF!</f>
        <v>#REF!</v>
      </c>
      <c r="U86" s="13" t="e">
        <f t="shared" si="23"/>
        <v>#REF!</v>
      </c>
      <c r="V86" s="15"/>
      <c r="W86" s="15"/>
      <c r="X86" s="5"/>
    </row>
    <row r="87" spans="1:23" ht="15.75">
      <c r="A87" s="36" t="s">
        <v>36</v>
      </c>
      <c r="B87" s="1" t="s">
        <v>405</v>
      </c>
      <c r="C87" s="19" t="s">
        <v>249</v>
      </c>
      <c r="D87" s="19"/>
      <c r="E87" s="19"/>
      <c r="F87" s="8"/>
      <c r="G87" s="8"/>
      <c r="H87" s="8">
        <v>2800</v>
      </c>
      <c r="I87" s="15" t="e">
        <f>'Исполнение тар сметы'!#REF!*1.12</f>
        <v>#REF!</v>
      </c>
      <c r="J87" s="15" t="e">
        <f>'Исполнение тар сметы'!#REF!*1.12</f>
        <v>#REF!</v>
      </c>
      <c r="K87" s="15" t="e">
        <f>'Исполнение тар сметы'!#REF!*1.12</f>
        <v>#REF!</v>
      </c>
      <c r="L87" s="15" t="e">
        <f>'Исполнение тар сметы'!#REF!*1.12</f>
        <v>#REF!</v>
      </c>
      <c r="M87" s="15" t="e">
        <f>'Исполнение тар сметы'!#REF!*1.12</f>
        <v>#REF!</v>
      </c>
      <c r="N87" s="15" t="e">
        <f>'Исполнение тар сметы'!#REF!*1.12</f>
        <v>#REF!</v>
      </c>
      <c r="O87" s="15" t="e">
        <f>'Исполнение тар сметы'!#REF!*1.12</f>
        <v>#REF!</v>
      </c>
      <c r="P87" s="15" t="e">
        <f>'Исполнение тар сметы'!#REF!*1.12</f>
        <v>#REF!</v>
      </c>
      <c r="Q87" s="15" t="e">
        <f>'Исполнение тар сметы'!#REF!*1.12</f>
        <v>#REF!</v>
      </c>
      <c r="R87" s="15" t="e">
        <f>'Исполнение тар сметы'!#REF!*1.12</f>
        <v>#REF!</v>
      </c>
      <c r="S87" s="15" t="e">
        <f>'Исполнение тар сметы'!#REF!*1.12</f>
        <v>#REF!</v>
      </c>
      <c r="T87" s="15" t="e">
        <f>'Исполнение тар сметы'!#REF!*1.12</f>
        <v>#REF!</v>
      </c>
      <c r="U87" s="13" t="e">
        <f t="shared" si="23"/>
        <v>#REF!</v>
      </c>
      <c r="V87" s="15"/>
      <c r="W87" s="15"/>
    </row>
    <row r="88" spans="1:23" ht="15.75" hidden="1">
      <c r="A88" s="36"/>
      <c r="B88" s="1"/>
      <c r="C88" s="19"/>
      <c r="D88" s="19"/>
      <c r="E88" s="19"/>
      <c r="F88" s="8"/>
      <c r="G88" s="8"/>
      <c r="H88" s="8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3"/>
      <c r="V88" s="15"/>
      <c r="W88" s="15"/>
    </row>
    <row r="89" spans="1:23" ht="15.75">
      <c r="A89" s="36" t="s">
        <v>37</v>
      </c>
      <c r="B89" s="1" t="s">
        <v>339</v>
      </c>
      <c r="C89" s="19" t="s">
        <v>249</v>
      </c>
      <c r="D89" s="45"/>
      <c r="E89" s="19"/>
      <c r="F89" s="13"/>
      <c r="G89" s="13">
        <v>375</v>
      </c>
      <c r="H89" s="13">
        <v>737.8448000000001</v>
      </c>
      <c r="I89" s="13">
        <v>375</v>
      </c>
      <c r="J89" s="13" t="e">
        <f>'Исполнение тар сметы'!#REF!*1.12</f>
        <v>#REF!</v>
      </c>
      <c r="K89" s="13" t="e">
        <f>'Исполнение тар сметы'!#REF!*1.12</f>
        <v>#REF!</v>
      </c>
      <c r="L89" s="13" t="e">
        <f>'Исполнение тар сметы'!#REF!*1.12</f>
        <v>#REF!</v>
      </c>
      <c r="M89" s="13" t="e">
        <f>'Исполнение тар сметы'!#REF!*1.12</f>
        <v>#REF!</v>
      </c>
      <c r="N89" s="13" t="e">
        <f>'Исполнение тар сметы'!#REF!*1.12</f>
        <v>#REF!</v>
      </c>
      <c r="O89" s="13" t="e">
        <f>'Исполнение тар сметы'!#REF!*1.12</f>
        <v>#REF!</v>
      </c>
      <c r="P89" s="13" t="e">
        <f>'Исполнение тар сметы'!#REF!*1.12</f>
        <v>#REF!</v>
      </c>
      <c r="Q89" s="13" t="e">
        <f>'Исполнение тар сметы'!#REF!*1.12</f>
        <v>#REF!</v>
      </c>
      <c r="R89" s="13" t="e">
        <f>'Исполнение тар сметы'!#REF!*1.12</f>
        <v>#REF!</v>
      </c>
      <c r="S89" s="13" t="e">
        <f>'Исполнение тар сметы'!#REF!*1.12</f>
        <v>#REF!</v>
      </c>
      <c r="T89" s="13" t="e">
        <f>'Исполнение тар сметы'!#REF!*1.12</f>
        <v>#REF!</v>
      </c>
      <c r="U89" s="13" t="e">
        <f t="shared" si="23"/>
        <v>#REF!</v>
      </c>
      <c r="V89" s="15"/>
      <c r="W89" s="15"/>
    </row>
    <row r="90" spans="1:23" ht="15.75">
      <c r="A90" s="36" t="s">
        <v>38</v>
      </c>
      <c r="B90" s="15" t="s">
        <v>342</v>
      </c>
      <c r="C90" s="19" t="s">
        <v>249</v>
      </c>
      <c r="D90" s="19"/>
      <c r="E90" s="19"/>
      <c r="F90" s="13"/>
      <c r="G90" s="13">
        <v>461.664</v>
      </c>
      <c r="H90" s="13">
        <v>5461.792</v>
      </c>
      <c r="I90" s="13">
        <f>G90</f>
        <v>461.664</v>
      </c>
      <c r="J90" s="13" t="e">
        <f>'Исполнение тар сметы'!#REF!*1.12</f>
        <v>#REF!</v>
      </c>
      <c r="K90" s="13" t="e">
        <f>'Исполнение тар сметы'!#REF!*1.12</f>
        <v>#REF!</v>
      </c>
      <c r="L90" s="13" t="e">
        <f>'Исполнение тар сметы'!#REF!*1.12</f>
        <v>#REF!</v>
      </c>
      <c r="M90" s="13" t="e">
        <f>'Исполнение тар сметы'!#REF!*1.12</f>
        <v>#REF!</v>
      </c>
      <c r="N90" s="13" t="e">
        <f>'Исполнение тар сметы'!#REF!*1.12</f>
        <v>#REF!</v>
      </c>
      <c r="O90" s="13" t="e">
        <f>'Исполнение тар сметы'!#REF!*1.12</f>
        <v>#REF!</v>
      </c>
      <c r="P90" s="13" t="e">
        <f>'Исполнение тар сметы'!#REF!*1.12</f>
        <v>#REF!</v>
      </c>
      <c r="Q90" s="13" t="e">
        <f>'Исполнение тар сметы'!#REF!*1.12</f>
        <v>#REF!</v>
      </c>
      <c r="R90" s="13" t="e">
        <f>'Исполнение тар сметы'!#REF!*1.12</f>
        <v>#REF!</v>
      </c>
      <c r="S90" s="13" t="e">
        <f>'Исполнение тар сметы'!#REF!*1.12</f>
        <v>#REF!</v>
      </c>
      <c r="T90" s="13" t="e">
        <f>'Исполнение тар сметы'!#REF!*1.12</f>
        <v>#REF!</v>
      </c>
      <c r="U90" s="13" t="e">
        <f aca="true" t="shared" si="24" ref="U90:U109">SUM(I90:T90)</f>
        <v>#REF!</v>
      </c>
      <c r="V90" s="15"/>
      <c r="W90" s="15" t="e">
        <f>T90</f>
        <v>#REF!</v>
      </c>
    </row>
    <row r="91" spans="1:25" s="25" customFormat="1" ht="15.75">
      <c r="A91" s="36" t="s">
        <v>39</v>
      </c>
      <c r="B91" s="15" t="s">
        <v>343</v>
      </c>
      <c r="C91" s="19" t="s">
        <v>249</v>
      </c>
      <c r="D91" s="22"/>
      <c r="E91" s="22"/>
      <c r="F91" s="23"/>
      <c r="G91" s="13">
        <v>280</v>
      </c>
      <c r="H91" s="13">
        <v>4237.742999999999</v>
      </c>
      <c r="I91" s="13">
        <v>745.353</v>
      </c>
      <c r="J91" s="13" t="e">
        <f>'Исполнение тар сметы'!#REF!*1.12</f>
        <v>#REF!</v>
      </c>
      <c r="K91" s="13" t="e">
        <f>'Исполнение тар сметы'!#REF!*1.12</f>
        <v>#REF!</v>
      </c>
      <c r="L91" s="13" t="e">
        <f>'Исполнение тар сметы'!#REF!*1.12</f>
        <v>#REF!</v>
      </c>
      <c r="M91" s="13" t="e">
        <f>'Исполнение тар сметы'!#REF!*1.12</f>
        <v>#REF!</v>
      </c>
      <c r="N91" s="13" t="e">
        <f>'Исполнение тар сметы'!#REF!*1.12</f>
        <v>#REF!</v>
      </c>
      <c r="O91" s="13" t="e">
        <f>'Исполнение тар сметы'!#REF!*1.12</f>
        <v>#REF!</v>
      </c>
      <c r="P91" s="13" t="e">
        <f>'Исполнение тар сметы'!#REF!*1.12</f>
        <v>#REF!</v>
      </c>
      <c r="Q91" s="13" t="e">
        <f>'Исполнение тар сметы'!#REF!*1.12</f>
        <v>#REF!</v>
      </c>
      <c r="R91" s="13" t="e">
        <f>'Исполнение тар сметы'!#REF!*1.12</f>
        <v>#REF!</v>
      </c>
      <c r="S91" s="13" t="e">
        <f>'Исполнение тар сметы'!#REF!*1.12</f>
        <v>#REF!</v>
      </c>
      <c r="T91" s="13" t="e">
        <f>'Исполнение тар сметы'!#REF!*1.12</f>
        <v>#REF!</v>
      </c>
      <c r="U91" s="13" t="e">
        <f t="shared" si="24"/>
        <v>#REF!</v>
      </c>
      <c r="V91" s="24"/>
      <c r="W91" s="15" t="e">
        <f>T91</f>
        <v>#REF!</v>
      </c>
      <c r="X91" s="5"/>
      <c r="Y91" s="71"/>
    </row>
    <row r="92" spans="1:25" s="25" customFormat="1" ht="15.75">
      <c r="A92" s="36" t="s">
        <v>40</v>
      </c>
      <c r="B92" s="15" t="s">
        <v>401</v>
      </c>
      <c r="C92" s="19"/>
      <c r="D92" s="22"/>
      <c r="E92" s="22"/>
      <c r="F92" s="23"/>
      <c r="G92" s="13"/>
      <c r="H92" s="13">
        <v>346.05312000000004</v>
      </c>
      <c r="I92" s="13" t="e">
        <f>'Исполнение тар сметы'!#REF!*1.12</f>
        <v>#REF!</v>
      </c>
      <c r="J92" s="13" t="e">
        <f>'Исполнение тар сметы'!#REF!*1.12</f>
        <v>#REF!</v>
      </c>
      <c r="K92" s="13" t="e">
        <f>'Исполнение тар сметы'!#REF!*1.12</f>
        <v>#REF!</v>
      </c>
      <c r="L92" s="13" t="e">
        <f>'Исполнение тар сметы'!#REF!*1.12</f>
        <v>#REF!</v>
      </c>
      <c r="M92" s="13" t="e">
        <f>'Исполнение тар сметы'!#REF!*1.12</f>
        <v>#REF!</v>
      </c>
      <c r="N92" s="13" t="e">
        <f>'Исполнение тар сметы'!#REF!*1.12</f>
        <v>#REF!</v>
      </c>
      <c r="O92" s="13" t="e">
        <f>'Исполнение тар сметы'!#REF!*1.12</f>
        <v>#REF!</v>
      </c>
      <c r="P92" s="13" t="e">
        <f>'Исполнение тар сметы'!#REF!*1.12</f>
        <v>#REF!</v>
      </c>
      <c r="Q92" s="13" t="e">
        <f>'Исполнение тар сметы'!#REF!*1.12</f>
        <v>#REF!</v>
      </c>
      <c r="R92" s="13" t="e">
        <f>'Исполнение тар сметы'!#REF!*1.12</f>
        <v>#REF!</v>
      </c>
      <c r="S92" s="13" t="e">
        <f>'Исполнение тар сметы'!#REF!*1.12</f>
        <v>#REF!</v>
      </c>
      <c r="T92" s="13" t="e">
        <f>'Исполнение тар сметы'!#REF!*1.12</f>
        <v>#REF!</v>
      </c>
      <c r="U92" s="13" t="e">
        <f t="shared" si="24"/>
        <v>#REF!</v>
      </c>
      <c r="V92" s="24"/>
      <c r="W92" s="15">
        <v>30.86</v>
      </c>
      <c r="X92" s="5"/>
      <c r="Y92" s="71"/>
    </row>
    <row r="93" spans="1:24" ht="15.75">
      <c r="A93" s="36" t="s">
        <v>41</v>
      </c>
      <c r="B93" s="15" t="s">
        <v>347</v>
      </c>
      <c r="C93" s="19" t="s">
        <v>249</v>
      </c>
      <c r="D93" s="19"/>
      <c r="E93" s="19"/>
      <c r="F93" s="8"/>
      <c r="G93" s="13"/>
      <c r="H93" s="13">
        <v>3896</v>
      </c>
      <c r="I93" s="15" t="e">
        <f>'Исполнение тар сметы'!#REF!</f>
        <v>#REF!</v>
      </c>
      <c r="J93" s="15" t="e">
        <f>'Исполнение тар сметы'!#REF!</f>
        <v>#REF!</v>
      </c>
      <c r="K93" s="15" t="e">
        <f>'Исполнение тар сметы'!#REF!</f>
        <v>#REF!</v>
      </c>
      <c r="L93" s="15" t="e">
        <f>'Исполнение тар сметы'!#REF!</f>
        <v>#REF!</v>
      </c>
      <c r="M93" s="15" t="e">
        <f>'Исполнение тар сметы'!#REF!</f>
        <v>#REF!</v>
      </c>
      <c r="N93" s="15" t="e">
        <f>'Исполнение тар сметы'!#REF!</f>
        <v>#REF!</v>
      </c>
      <c r="O93" s="15" t="e">
        <f>'Исполнение тар сметы'!#REF!</f>
        <v>#REF!</v>
      </c>
      <c r="P93" s="15" t="e">
        <f>'Исполнение тар сметы'!#REF!</f>
        <v>#REF!</v>
      </c>
      <c r="Q93" s="15" t="e">
        <f>'Исполнение тар сметы'!#REF!</f>
        <v>#REF!</v>
      </c>
      <c r="R93" s="15" t="e">
        <f>'Исполнение тар сметы'!#REF!</f>
        <v>#REF!</v>
      </c>
      <c r="S93" s="15" t="e">
        <f>'Исполнение тар сметы'!#REF!</f>
        <v>#REF!</v>
      </c>
      <c r="T93" s="15" t="e">
        <f>'Исполнение тар сметы'!#REF!</f>
        <v>#REF!</v>
      </c>
      <c r="U93" s="13" t="e">
        <f t="shared" si="24"/>
        <v>#REF!</v>
      </c>
      <c r="V93" s="15"/>
      <c r="W93" s="15"/>
      <c r="X93" s="5"/>
    </row>
    <row r="94" spans="1:24" ht="31.5">
      <c r="A94" s="36" t="s">
        <v>42</v>
      </c>
      <c r="B94" s="57" t="s">
        <v>276</v>
      </c>
      <c r="C94" s="19" t="s">
        <v>249</v>
      </c>
      <c r="D94" s="45"/>
      <c r="E94" s="19"/>
      <c r="F94" s="8"/>
      <c r="G94" s="13"/>
      <c r="H94" s="13">
        <v>2585.23</v>
      </c>
      <c r="I94" s="15" t="e">
        <f>'Исполнение тар сметы'!#REF!+G94</f>
        <v>#REF!</v>
      </c>
      <c r="J94" s="15" t="e">
        <f>'Исполнение тар сметы'!#REF!</f>
        <v>#REF!</v>
      </c>
      <c r="K94" s="15" t="e">
        <f>'Исполнение тар сметы'!#REF!</f>
        <v>#REF!</v>
      </c>
      <c r="L94" s="15" t="e">
        <f>'Исполнение тар сметы'!#REF!</f>
        <v>#REF!</v>
      </c>
      <c r="M94" s="15" t="e">
        <f>'Исполнение тар сметы'!#REF!</f>
        <v>#REF!</v>
      </c>
      <c r="N94" s="15" t="e">
        <f>'Исполнение тар сметы'!#REF!</f>
        <v>#REF!</v>
      </c>
      <c r="O94" s="15" t="e">
        <f>'Исполнение тар сметы'!#REF!</f>
        <v>#REF!</v>
      </c>
      <c r="P94" s="15" t="e">
        <f>'Исполнение тар сметы'!#REF!</f>
        <v>#REF!</v>
      </c>
      <c r="Q94" s="15" t="e">
        <f>'Исполнение тар сметы'!#REF!</f>
        <v>#REF!</v>
      </c>
      <c r="R94" s="15" t="e">
        <f>'Исполнение тар сметы'!#REF!</f>
        <v>#REF!</v>
      </c>
      <c r="S94" s="15" t="e">
        <f>'Исполнение тар сметы'!#REF!</f>
        <v>#REF!</v>
      </c>
      <c r="T94" s="15" t="e">
        <f>'Исполнение тар сметы'!#REF!</f>
        <v>#REF!</v>
      </c>
      <c r="U94" s="13" t="e">
        <f t="shared" si="24"/>
        <v>#REF!</v>
      </c>
      <c r="V94" s="15"/>
      <c r="W94" s="15"/>
      <c r="X94" s="5"/>
    </row>
    <row r="95" spans="1:24" ht="15.75">
      <c r="A95" s="36" t="s">
        <v>43</v>
      </c>
      <c r="B95" s="57" t="s">
        <v>366</v>
      </c>
      <c r="C95" s="19" t="s">
        <v>249</v>
      </c>
      <c r="D95" s="45"/>
      <c r="E95" s="19"/>
      <c r="F95" s="13"/>
      <c r="G95" s="13">
        <f>12.55</f>
        <v>12.55</v>
      </c>
      <c r="H95" s="13">
        <v>336</v>
      </c>
      <c r="I95" s="15" t="e">
        <f>'Исполнение тар сметы'!#REF!*1.12</f>
        <v>#REF!</v>
      </c>
      <c r="J95" s="15" t="e">
        <f>'Исполнение тар сметы'!#REF!*1.12</f>
        <v>#REF!</v>
      </c>
      <c r="K95" s="15" t="e">
        <f>'Исполнение тар сметы'!#REF!*1.12</f>
        <v>#REF!</v>
      </c>
      <c r="L95" s="15" t="e">
        <f>'Исполнение тар сметы'!#REF!*1.12</f>
        <v>#REF!</v>
      </c>
      <c r="M95" s="15" t="e">
        <f>'Исполнение тар сметы'!#REF!*1.12</f>
        <v>#REF!</v>
      </c>
      <c r="N95" s="15" t="e">
        <f>'Исполнение тар сметы'!#REF!*1.12</f>
        <v>#REF!</v>
      </c>
      <c r="O95" s="15" t="e">
        <f>'Исполнение тар сметы'!#REF!*1.12</f>
        <v>#REF!</v>
      </c>
      <c r="P95" s="15" t="e">
        <f>'Исполнение тар сметы'!#REF!*1.12</f>
        <v>#REF!</v>
      </c>
      <c r="Q95" s="15" t="e">
        <f>'Исполнение тар сметы'!#REF!*1.12</f>
        <v>#REF!</v>
      </c>
      <c r="R95" s="15" t="e">
        <f>'Исполнение тар сметы'!#REF!*1.12</f>
        <v>#REF!</v>
      </c>
      <c r="S95" s="15" t="e">
        <f>'Исполнение тар сметы'!#REF!*1.12</f>
        <v>#REF!</v>
      </c>
      <c r="T95" s="15" t="e">
        <f>'Исполнение тар сметы'!#REF!*1.12</f>
        <v>#REF!</v>
      </c>
      <c r="U95" s="13" t="e">
        <f t="shared" si="24"/>
        <v>#REF!</v>
      </c>
      <c r="V95" s="15"/>
      <c r="W95" s="15"/>
      <c r="X95" s="5"/>
    </row>
    <row r="96" spans="1:24" ht="15.75" hidden="1">
      <c r="A96" s="36"/>
      <c r="B96" s="57"/>
      <c r="C96" s="19"/>
      <c r="D96" s="45"/>
      <c r="E96" s="19"/>
      <c r="F96" s="13"/>
      <c r="G96" s="13"/>
      <c r="H96" s="13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3"/>
      <c r="V96" s="15"/>
      <c r="W96" s="15"/>
      <c r="X96" s="5"/>
    </row>
    <row r="97" spans="1:23" ht="15.75">
      <c r="A97" s="36" t="s">
        <v>44</v>
      </c>
      <c r="B97" s="15" t="s">
        <v>368</v>
      </c>
      <c r="C97" s="19" t="s">
        <v>249</v>
      </c>
      <c r="D97" s="45"/>
      <c r="E97" s="19"/>
      <c r="F97" s="13"/>
      <c r="G97" s="13">
        <v>30.672</v>
      </c>
      <c r="H97" s="13">
        <v>336</v>
      </c>
      <c r="I97" s="15">
        <v>30.672</v>
      </c>
      <c r="J97" s="15" t="e">
        <f>'Исполнение тар сметы'!#REF!*1.12</f>
        <v>#REF!</v>
      </c>
      <c r="K97" s="15" t="e">
        <f>'Исполнение тар сметы'!#REF!*1.12</f>
        <v>#REF!</v>
      </c>
      <c r="L97" s="15" t="e">
        <f>'Исполнение тар сметы'!#REF!*1.12</f>
        <v>#REF!</v>
      </c>
      <c r="M97" s="15" t="e">
        <f>'Исполнение тар сметы'!#REF!*1.12</f>
        <v>#REF!</v>
      </c>
      <c r="N97" s="15" t="e">
        <f>'Исполнение тар сметы'!#REF!*1.12</f>
        <v>#REF!</v>
      </c>
      <c r="O97" s="15" t="e">
        <f>'Исполнение тар сметы'!#REF!*1.12</f>
        <v>#REF!</v>
      </c>
      <c r="P97" s="15" t="e">
        <f>'Исполнение тар сметы'!#REF!*1.12</f>
        <v>#REF!</v>
      </c>
      <c r="Q97" s="15" t="e">
        <f>'Исполнение тар сметы'!#REF!*1.12</f>
        <v>#REF!</v>
      </c>
      <c r="R97" s="15" t="e">
        <f>'Исполнение тар сметы'!#REF!*1.12</f>
        <v>#REF!</v>
      </c>
      <c r="S97" s="15" t="e">
        <f>'Исполнение тар сметы'!#REF!*1.12</f>
        <v>#REF!</v>
      </c>
      <c r="T97" s="15" t="e">
        <f>'Исполнение тар сметы'!#REF!*1.12</f>
        <v>#REF!</v>
      </c>
      <c r="U97" s="13" t="e">
        <f t="shared" si="24"/>
        <v>#REF!</v>
      </c>
      <c r="V97" s="15"/>
      <c r="W97" s="15">
        <v>106.24</v>
      </c>
    </row>
    <row r="98" spans="1:24" ht="15.75">
      <c r="A98" s="36" t="s">
        <v>244</v>
      </c>
      <c r="B98" s="15" t="s">
        <v>369</v>
      </c>
      <c r="C98" s="19" t="s">
        <v>249</v>
      </c>
      <c r="D98" s="45"/>
      <c r="E98" s="19"/>
      <c r="F98" s="13"/>
      <c r="G98" s="13">
        <v>33.363</v>
      </c>
      <c r="H98" s="13">
        <v>1194.4289999999999</v>
      </c>
      <c r="I98" s="15">
        <v>33.363</v>
      </c>
      <c r="J98" s="15" t="e">
        <f>'Исполнение тар сметы'!#REF!</f>
        <v>#REF!</v>
      </c>
      <c r="K98" s="15" t="e">
        <f>'Исполнение тар сметы'!#REF!</f>
        <v>#REF!</v>
      </c>
      <c r="L98" s="15" t="e">
        <f>'Исполнение тар сметы'!#REF!</f>
        <v>#REF!</v>
      </c>
      <c r="M98" s="15" t="e">
        <f>'Исполнение тар сметы'!#REF!</f>
        <v>#REF!</v>
      </c>
      <c r="N98" s="15" t="e">
        <f>'Исполнение тар сметы'!#REF!</f>
        <v>#REF!</v>
      </c>
      <c r="O98" s="15" t="e">
        <f>'Исполнение тар сметы'!#REF!</f>
        <v>#REF!</v>
      </c>
      <c r="P98" s="15" t="e">
        <f>'Исполнение тар сметы'!#REF!</f>
        <v>#REF!</v>
      </c>
      <c r="Q98" s="15" t="e">
        <f>'Исполнение тар сметы'!#REF!</f>
        <v>#REF!</v>
      </c>
      <c r="R98" s="15" t="e">
        <f>'Исполнение тар сметы'!#REF!</f>
        <v>#REF!</v>
      </c>
      <c r="S98" s="15" t="e">
        <f>'Исполнение тар сметы'!#REF!</f>
        <v>#REF!</v>
      </c>
      <c r="T98" s="15" t="e">
        <f>'Исполнение тар сметы'!#REF!</f>
        <v>#REF!</v>
      </c>
      <c r="U98" s="13" t="e">
        <f t="shared" si="24"/>
        <v>#REF!</v>
      </c>
      <c r="V98" s="15"/>
      <c r="W98" s="15">
        <v>71.63</v>
      </c>
      <c r="X98" s="5"/>
    </row>
    <row r="99" spans="1:23" ht="15.75">
      <c r="A99" s="36" t="s">
        <v>45</v>
      </c>
      <c r="B99" s="15" t="s">
        <v>370</v>
      </c>
      <c r="C99" s="19" t="s">
        <v>249</v>
      </c>
      <c r="D99" s="45"/>
      <c r="E99" s="19"/>
      <c r="F99" s="13">
        <v>142.56</v>
      </c>
      <c r="G99" s="13"/>
      <c r="H99" s="13">
        <v>554</v>
      </c>
      <c r="I99" s="15"/>
      <c r="J99" s="15"/>
      <c r="K99" s="15"/>
      <c r="L99" s="15"/>
      <c r="M99" s="15">
        <v>188</v>
      </c>
      <c r="N99" s="15"/>
      <c r="O99" s="15"/>
      <c r="P99" s="15"/>
      <c r="Q99" s="15"/>
      <c r="R99" s="15"/>
      <c r="S99" s="15">
        <v>366</v>
      </c>
      <c r="T99" s="15"/>
      <c r="U99" s="13">
        <f t="shared" si="24"/>
        <v>554</v>
      </c>
      <c r="V99" s="15"/>
      <c r="W99" s="15"/>
    </row>
    <row r="100" spans="1:24" ht="15.75">
      <c r="A100" s="46" t="s">
        <v>46</v>
      </c>
      <c r="B100" s="15" t="s">
        <v>403</v>
      </c>
      <c r="C100" s="19" t="s">
        <v>249</v>
      </c>
      <c r="D100" s="45"/>
      <c r="E100" s="19"/>
      <c r="F100" s="13"/>
      <c r="G100" s="13">
        <v>31.365</v>
      </c>
      <c r="H100" s="13">
        <v>245.5</v>
      </c>
      <c r="I100" s="15" t="e">
        <f>'Исполнение тар сметы'!#REF!</f>
        <v>#REF!</v>
      </c>
      <c r="J100" s="15" t="e">
        <f>'Исполнение тар сметы'!#REF!</f>
        <v>#REF!</v>
      </c>
      <c r="K100" s="15" t="e">
        <f>'Исполнение тар сметы'!#REF!</f>
        <v>#REF!</v>
      </c>
      <c r="L100" s="15" t="e">
        <f>'Исполнение тар сметы'!#REF!</f>
        <v>#REF!</v>
      </c>
      <c r="M100" s="15" t="e">
        <f>'Исполнение тар сметы'!#REF!</f>
        <v>#REF!</v>
      </c>
      <c r="N100" s="15" t="e">
        <f>'Исполнение тар сметы'!#REF!</f>
        <v>#REF!</v>
      </c>
      <c r="O100" s="15" t="e">
        <f>'Исполнение тар сметы'!#REF!</f>
        <v>#REF!</v>
      </c>
      <c r="P100" s="15" t="e">
        <f>'Исполнение тар сметы'!#REF!</f>
        <v>#REF!</v>
      </c>
      <c r="Q100" s="15" t="e">
        <f>'Исполнение тар сметы'!#REF!</f>
        <v>#REF!</v>
      </c>
      <c r="R100" s="15" t="e">
        <f>'Исполнение тар сметы'!#REF!</f>
        <v>#REF!</v>
      </c>
      <c r="S100" s="15" t="e">
        <f>'Исполнение тар сметы'!#REF!</f>
        <v>#REF!</v>
      </c>
      <c r="T100" s="15" t="e">
        <f>'Исполнение тар сметы'!#REF!</f>
        <v>#REF!</v>
      </c>
      <c r="U100" s="13" t="e">
        <f t="shared" si="24"/>
        <v>#REF!</v>
      </c>
      <c r="V100" s="15"/>
      <c r="W100" s="15"/>
      <c r="X100" s="5"/>
    </row>
    <row r="101" spans="1:23" ht="15.75">
      <c r="A101" s="46" t="s">
        <v>47</v>
      </c>
      <c r="B101" s="81" t="s">
        <v>377</v>
      </c>
      <c r="C101" s="19" t="s">
        <v>249</v>
      </c>
      <c r="D101" s="45"/>
      <c r="E101" s="19"/>
      <c r="F101" s="13"/>
      <c r="G101" s="13">
        <v>2209.942</v>
      </c>
      <c r="H101" s="13">
        <v>12459.563624000002</v>
      </c>
      <c r="I101" s="15">
        <v>18.97</v>
      </c>
      <c r="J101" s="15" t="e">
        <f>'Исполнение тар сметы'!#REF!*1.12+G101</f>
        <v>#REF!</v>
      </c>
      <c r="K101" s="15" t="e">
        <f>'Исполнение тар сметы'!#REF!*1.12</f>
        <v>#REF!</v>
      </c>
      <c r="L101" s="15" t="e">
        <f>'Исполнение тар сметы'!#REF!*1.12</f>
        <v>#REF!</v>
      </c>
      <c r="M101" s="15" t="e">
        <f>'Исполнение тар сметы'!#REF!*1.12</f>
        <v>#REF!</v>
      </c>
      <c r="N101" s="15" t="e">
        <f>'Исполнение тар сметы'!#REF!*1.12</f>
        <v>#REF!</v>
      </c>
      <c r="O101" s="15" t="e">
        <f>'Исполнение тар сметы'!#REF!*1.12</f>
        <v>#REF!</v>
      </c>
      <c r="P101" s="15" t="e">
        <f>'Исполнение тар сметы'!#REF!*1.12</f>
        <v>#REF!</v>
      </c>
      <c r="Q101" s="15" t="e">
        <f>'Исполнение тар сметы'!#REF!*1.12</f>
        <v>#REF!</v>
      </c>
      <c r="R101" s="15" t="e">
        <f>'Исполнение тар сметы'!#REF!*1.12</f>
        <v>#REF!</v>
      </c>
      <c r="S101" s="15" t="e">
        <f>'Исполнение тар сметы'!#REF!*1.12</f>
        <v>#REF!</v>
      </c>
      <c r="T101" s="15" t="e">
        <f>'Исполнение тар сметы'!#REF!*1.12</f>
        <v>#REF!</v>
      </c>
      <c r="U101" s="13" t="e">
        <f t="shared" si="24"/>
        <v>#REF!</v>
      </c>
      <c r="V101" s="15"/>
      <c r="W101" s="15"/>
    </row>
    <row r="102" spans="1:23" ht="15.75">
      <c r="A102" s="46" t="s">
        <v>268</v>
      </c>
      <c r="B102" s="81" t="s">
        <v>375</v>
      </c>
      <c r="C102" s="19" t="s">
        <v>249</v>
      </c>
      <c r="D102" s="45"/>
      <c r="E102" s="19"/>
      <c r="F102" s="13"/>
      <c r="G102" s="13">
        <v>1600</v>
      </c>
      <c r="H102" s="13">
        <v>1680</v>
      </c>
      <c r="I102" s="15">
        <v>600</v>
      </c>
      <c r="J102" s="15">
        <v>1000</v>
      </c>
      <c r="K102" s="15" t="e">
        <f>'Исполнение тар сметы'!#REF!*1.12</f>
        <v>#REF!</v>
      </c>
      <c r="L102" s="15" t="e">
        <f>'Исполнение тар сметы'!#REF!*1.12</f>
        <v>#REF!</v>
      </c>
      <c r="M102" s="15" t="e">
        <f>'Исполнение тар сметы'!#REF!*1.12</f>
        <v>#REF!</v>
      </c>
      <c r="N102" s="15" t="e">
        <f>'Исполнение тар сметы'!#REF!*1.12</f>
        <v>#REF!</v>
      </c>
      <c r="O102" s="15" t="e">
        <f>'Исполнение тар сметы'!#REF!*1.12</f>
        <v>#REF!</v>
      </c>
      <c r="P102" s="15" t="e">
        <f>'Исполнение тар сметы'!#REF!*1.12</f>
        <v>#REF!</v>
      </c>
      <c r="Q102" s="15" t="e">
        <f>'Исполнение тар сметы'!#REF!*1.12</f>
        <v>#REF!</v>
      </c>
      <c r="R102" s="15" t="e">
        <f>'Исполнение тар сметы'!#REF!*1.12</f>
        <v>#REF!</v>
      </c>
      <c r="S102" s="15" t="e">
        <f>'Исполнение тар сметы'!#REF!*1.12</f>
        <v>#REF!</v>
      </c>
      <c r="T102" s="15" t="e">
        <f>'Исполнение тар сметы'!#REF!*1.12</f>
        <v>#REF!</v>
      </c>
      <c r="U102" s="13" t="e">
        <f t="shared" si="24"/>
        <v>#REF!</v>
      </c>
      <c r="V102" s="15"/>
      <c r="W102" s="15"/>
    </row>
    <row r="103" spans="1:23" ht="15.75">
      <c r="A103" s="46" t="s">
        <v>269</v>
      </c>
      <c r="B103" s="81" t="s">
        <v>307</v>
      </c>
      <c r="C103" s="19" t="s">
        <v>249</v>
      </c>
      <c r="D103" s="45"/>
      <c r="E103" s="19"/>
      <c r="F103" s="13"/>
      <c r="G103" s="13"/>
      <c r="H103" s="13">
        <v>8500</v>
      </c>
      <c r="I103" s="15" t="e">
        <f>'Исполнение тар сметы'!#REF!*1.12</f>
        <v>#REF!</v>
      </c>
      <c r="J103" s="15" t="e">
        <f>'Исполнение тар сметы'!#REF!*1.12</f>
        <v>#REF!</v>
      </c>
      <c r="K103" s="15" t="e">
        <f>'Исполнение тар сметы'!#REF!*1.12</f>
        <v>#REF!</v>
      </c>
      <c r="L103" s="15" t="e">
        <f>'Исполнение тар сметы'!#REF!*1.12</f>
        <v>#REF!</v>
      </c>
      <c r="M103" s="15" t="e">
        <f>'Исполнение тар сметы'!#REF!*1.12</f>
        <v>#REF!</v>
      </c>
      <c r="N103" s="15" t="e">
        <f>'Исполнение тар сметы'!#REF!*1.12</f>
        <v>#REF!</v>
      </c>
      <c r="O103" s="15" t="e">
        <f>'Исполнение тар сметы'!#REF!*1.12</f>
        <v>#REF!</v>
      </c>
      <c r="P103" s="15" t="e">
        <f>'Исполнение тар сметы'!#REF!*1.12</f>
        <v>#REF!</v>
      </c>
      <c r="Q103" s="15" t="e">
        <f>'Исполнение тар сметы'!#REF!*1.12</f>
        <v>#REF!</v>
      </c>
      <c r="R103" s="15" t="e">
        <f>'Исполнение тар сметы'!#REF!*1.12</f>
        <v>#REF!</v>
      </c>
      <c r="S103" s="15" t="e">
        <f>'Исполнение тар сметы'!#REF!*1.12</f>
        <v>#REF!</v>
      </c>
      <c r="T103" s="15" t="e">
        <f>'Исполнение тар сметы'!#REF!*1.12</f>
        <v>#REF!</v>
      </c>
      <c r="U103" s="13" t="e">
        <f t="shared" si="24"/>
        <v>#REF!</v>
      </c>
      <c r="V103" s="15"/>
      <c r="W103" s="15"/>
    </row>
    <row r="104" spans="1:23" ht="15.75">
      <c r="A104" s="46" t="s">
        <v>270</v>
      </c>
      <c r="B104" s="81" t="s">
        <v>54</v>
      </c>
      <c r="C104" s="19" t="s">
        <v>249</v>
      </c>
      <c r="D104" s="45"/>
      <c r="E104" s="19"/>
      <c r="F104" s="13"/>
      <c r="G104" s="13"/>
      <c r="H104" s="13">
        <v>258.2944</v>
      </c>
      <c r="I104" s="15" t="e">
        <f>'Исполнение тар сметы'!#REF!*1.12</f>
        <v>#REF!</v>
      </c>
      <c r="J104" s="15" t="e">
        <f>'Исполнение тар сметы'!#REF!*1.12</f>
        <v>#REF!</v>
      </c>
      <c r="K104" s="15" t="e">
        <f>'Исполнение тар сметы'!#REF!*1.12</f>
        <v>#REF!</v>
      </c>
      <c r="L104" s="15" t="e">
        <f>'Исполнение тар сметы'!#REF!*1.12</f>
        <v>#REF!</v>
      </c>
      <c r="M104" s="15" t="e">
        <f>'Исполнение тар сметы'!#REF!*1.12</f>
        <v>#REF!</v>
      </c>
      <c r="N104" s="15" t="e">
        <f>'Исполнение тар сметы'!#REF!*1.12</f>
        <v>#REF!</v>
      </c>
      <c r="O104" s="15" t="e">
        <f>'Исполнение тар сметы'!#REF!*1.12</f>
        <v>#REF!</v>
      </c>
      <c r="P104" s="15" t="e">
        <f>'Исполнение тар сметы'!#REF!*1.12</f>
        <v>#REF!</v>
      </c>
      <c r="Q104" s="15" t="e">
        <f>'Исполнение тар сметы'!#REF!*1.12</f>
        <v>#REF!</v>
      </c>
      <c r="R104" s="15" t="e">
        <f>'Исполнение тар сметы'!#REF!*1.12</f>
        <v>#REF!</v>
      </c>
      <c r="S104" s="15" t="e">
        <f>'Исполнение тар сметы'!#REF!*1.12</f>
        <v>#REF!</v>
      </c>
      <c r="T104" s="15" t="e">
        <f>'Исполнение тар сметы'!#REF!*1.12</f>
        <v>#REF!</v>
      </c>
      <c r="U104" s="13" t="e">
        <f t="shared" si="24"/>
        <v>#REF!</v>
      </c>
      <c r="V104" s="15"/>
      <c r="W104" s="15"/>
    </row>
    <row r="105" spans="1:23" ht="15.75" hidden="1">
      <c r="A105" s="46"/>
      <c r="B105" s="81"/>
      <c r="C105" s="19"/>
      <c r="D105" s="45"/>
      <c r="E105" s="19"/>
      <c r="F105" s="13"/>
      <c r="G105" s="13"/>
      <c r="H105" s="13">
        <v>0</v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3">
        <f t="shared" si="24"/>
        <v>0</v>
      </c>
      <c r="V105" s="15"/>
      <c r="W105" s="15"/>
    </row>
    <row r="106" spans="1:23" ht="15.75">
      <c r="A106" s="46" t="s">
        <v>260</v>
      </c>
      <c r="B106" s="81" t="s">
        <v>254</v>
      </c>
      <c r="C106" s="19" t="s">
        <v>249</v>
      </c>
      <c r="D106" s="45"/>
      <c r="E106" s="19"/>
      <c r="F106" s="13"/>
      <c r="G106" s="13"/>
      <c r="H106" s="13">
        <v>181.9888</v>
      </c>
      <c r="I106" s="15"/>
      <c r="J106" s="15" t="e">
        <f>'Исполнение тар сметы'!#REF!*1.12</f>
        <v>#REF!</v>
      </c>
      <c r="K106" s="15" t="e">
        <f>'Исполнение тар сметы'!#REF!*1.12</f>
        <v>#REF!</v>
      </c>
      <c r="L106" s="15" t="e">
        <f>'Исполнение тар сметы'!#REF!*1.12</f>
        <v>#REF!</v>
      </c>
      <c r="M106" s="15" t="e">
        <f>'Исполнение тар сметы'!#REF!*1.12</f>
        <v>#REF!</v>
      </c>
      <c r="N106" s="15" t="e">
        <f>'Исполнение тар сметы'!#REF!*1.12</f>
        <v>#REF!</v>
      </c>
      <c r="O106" s="15" t="e">
        <f>'Исполнение тар сметы'!#REF!*1.12</f>
        <v>#REF!</v>
      </c>
      <c r="P106" s="15" t="e">
        <f>'Исполнение тар сметы'!#REF!*1.12</f>
        <v>#REF!</v>
      </c>
      <c r="Q106" s="15" t="e">
        <f>'Исполнение тар сметы'!#REF!*1.12</f>
        <v>#REF!</v>
      </c>
      <c r="R106" s="15" t="e">
        <f>'Исполнение тар сметы'!#REF!*1.12</f>
        <v>#REF!</v>
      </c>
      <c r="S106" s="15" t="e">
        <f>'Исполнение тар сметы'!#REF!*1.12</f>
        <v>#REF!</v>
      </c>
      <c r="T106" s="15" t="e">
        <f>'Исполнение тар сметы'!#REF!*1.12</f>
        <v>#REF!</v>
      </c>
      <c r="U106" s="13" t="e">
        <f t="shared" si="24"/>
        <v>#REF!</v>
      </c>
      <c r="V106" s="15"/>
      <c r="W106" s="15"/>
    </row>
    <row r="107" spans="1:23" ht="15.75">
      <c r="A107" s="36" t="s">
        <v>207</v>
      </c>
      <c r="B107" s="15" t="s">
        <v>402</v>
      </c>
      <c r="C107" s="19" t="s">
        <v>249</v>
      </c>
      <c r="D107" s="45"/>
      <c r="E107" s="19"/>
      <c r="F107" s="13"/>
      <c r="G107" s="13"/>
      <c r="H107" s="13">
        <v>50.4</v>
      </c>
      <c r="I107" s="15" t="e">
        <f>'Исполнение тар сметы'!#REF!*1.12</f>
        <v>#REF!</v>
      </c>
      <c r="J107" s="15" t="e">
        <f>'Исполнение тар сметы'!#REF!*1.12</f>
        <v>#REF!</v>
      </c>
      <c r="K107" s="15" t="e">
        <f>'Исполнение тар сметы'!#REF!*1.12</f>
        <v>#REF!</v>
      </c>
      <c r="L107" s="15" t="e">
        <f>'Исполнение тар сметы'!#REF!*1.12</f>
        <v>#REF!</v>
      </c>
      <c r="M107" s="15" t="e">
        <f>'Исполнение тар сметы'!#REF!*1.12</f>
        <v>#REF!</v>
      </c>
      <c r="N107" s="15" t="e">
        <f>'Исполнение тар сметы'!#REF!*1.12</f>
        <v>#REF!</v>
      </c>
      <c r="O107" s="15" t="e">
        <f>'Исполнение тар сметы'!#REF!*1.12</f>
        <v>#REF!</v>
      </c>
      <c r="P107" s="15" t="e">
        <f>'Исполнение тар сметы'!#REF!*1.12</f>
        <v>#REF!</v>
      </c>
      <c r="Q107" s="15" t="e">
        <f>'Исполнение тар сметы'!#REF!*1.12</f>
        <v>#REF!</v>
      </c>
      <c r="R107" s="15" t="e">
        <f>'Исполнение тар сметы'!#REF!*1.12</f>
        <v>#REF!</v>
      </c>
      <c r="S107" s="15" t="e">
        <f>'Исполнение тар сметы'!#REF!*1.12</f>
        <v>#REF!</v>
      </c>
      <c r="T107" s="15" t="e">
        <f>'Исполнение тар сметы'!#REF!*1.12</f>
        <v>#REF!</v>
      </c>
      <c r="U107" s="13" t="e">
        <f t="shared" si="24"/>
        <v>#REF!</v>
      </c>
      <c r="V107" s="15"/>
      <c r="W107" s="15"/>
    </row>
    <row r="108" spans="1:23" ht="15.75">
      <c r="A108" s="36" t="s">
        <v>261</v>
      </c>
      <c r="B108" s="15" t="s">
        <v>317</v>
      </c>
      <c r="C108" s="19" t="s">
        <v>249</v>
      </c>
      <c r="D108" s="45"/>
      <c r="E108" s="19"/>
      <c r="F108" s="13"/>
      <c r="G108" s="13"/>
      <c r="H108" s="13">
        <v>532.4928</v>
      </c>
      <c r="I108" s="15">
        <f>9.5</f>
        <v>9.5</v>
      </c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3">
        <f t="shared" si="24"/>
        <v>9.5</v>
      </c>
      <c r="V108" s="15"/>
      <c r="W108" s="15"/>
    </row>
    <row r="109" spans="1:23" ht="15.75">
      <c r="A109" s="36" t="s">
        <v>208</v>
      </c>
      <c r="B109" s="15" t="s">
        <v>59</v>
      </c>
      <c r="C109" s="19" t="s">
        <v>249</v>
      </c>
      <c r="D109" s="45"/>
      <c r="E109" s="19"/>
      <c r="F109" s="13"/>
      <c r="G109" s="13"/>
      <c r="H109" s="13">
        <v>1642.5</v>
      </c>
      <c r="I109" s="15" t="e">
        <f>'Исполнение тар сметы'!#REF!*1.12</f>
        <v>#REF!</v>
      </c>
      <c r="J109" s="15" t="e">
        <f>'Исполнение тар сметы'!#REF!*1.12</f>
        <v>#REF!</v>
      </c>
      <c r="K109" s="15" t="e">
        <f>'Исполнение тар сметы'!#REF!*1.12</f>
        <v>#REF!</v>
      </c>
      <c r="L109" s="15" t="e">
        <f>'Исполнение тар сметы'!#REF!*1.12</f>
        <v>#REF!</v>
      </c>
      <c r="M109" s="15" t="e">
        <f>'Исполнение тар сметы'!#REF!*1.12</f>
        <v>#REF!</v>
      </c>
      <c r="N109" s="15" t="e">
        <f>'Исполнение тар сметы'!#REF!*1.12</f>
        <v>#REF!</v>
      </c>
      <c r="O109" s="15" t="e">
        <f>'Исполнение тар сметы'!#REF!*1.12</f>
        <v>#REF!</v>
      </c>
      <c r="P109" s="15" t="e">
        <f>'Исполнение тар сметы'!#REF!*1.12</f>
        <v>#REF!</v>
      </c>
      <c r="Q109" s="15" t="e">
        <f>'Исполнение тар сметы'!#REF!*1.12</f>
        <v>#REF!</v>
      </c>
      <c r="R109" s="15" t="e">
        <f>'Исполнение тар сметы'!#REF!*1.12</f>
        <v>#REF!</v>
      </c>
      <c r="S109" s="15" t="e">
        <f>'Исполнение тар сметы'!#REF!*1.12</f>
        <v>#REF!</v>
      </c>
      <c r="T109" s="15" t="e">
        <f>'Исполнение тар сметы'!#REF!*1.12</f>
        <v>#REF!</v>
      </c>
      <c r="U109" s="13" t="e">
        <f t="shared" si="24"/>
        <v>#REF!</v>
      </c>
      <c r="V109" s="15"/>
      <c r="W109" s="15"/>
    </row>
    <row r="110" spans="1:23" s="34" customFormat="1" ht="15.75">
      <c r="A110" s="41" t="s">
        <v>12</v>
      </c>
      <c r="B110" s="59" t="s">
        <v>48</v>
      </c>
      <c r="C110" s="6" t="s">
        <v>249</v>
      </c>
      <c r="D110" s="113"/>
      <c r="E110" s="6"/>
      <c r="F110" s="14">
        <f>F111+F112+F113</f>
        <v>7593.373</v>
      </c>
      <c r="G110" s="14">
        <f>G111+G112+G113</f>
        <v>76441.62700000001</v>
      </c>
      <c r="H110" s="14">
        <v>203268.3771769793</v>
      </c>
      <c r="I110" s="14" t="e">
        <f aca="true" t="shared" si="25" ref="I110:U110">I111+I112+I113</f>
        <v>#REF!</v>
      </c>
      <c r="J110" s="14" t="e">
        <f t="shared" si="25"/>
        <v>#REF!</v>
      </c>
      <c r="K110" s="14" t="e">
        <f t="shared" si="25"/>
        <v>#REF!</v>
      </c>
      <c r="L110" s="14" t="e">
        <f t="shared" si="25"/>
        <v>#REF!</v>
      </c>
      <c r="M110" s="14" t="e">
        <f t="shared" si="25"/>
        <v>#REF!</v>
      </c>
      <c r="N110" s="14" t="e">
        <f t="shared" si="25"/>
        <v>#REF!</v>
      </c>
      <c r="O110" s="14" t="e">
        <f t="shared" si="25"/>
        <v>#REF!</v>
      </c>
      <c r="P110" s="14" t="e">
        <f t="shared" si="25"/>
        <v>#REF!</v>
      </c>
      <c r="Q110" s="14" t="e">
        <f t="shared" si="25"/>
        <v>#REF!</v>
      </c>
      <c r="R110" s="14" t="e">
        <f t="shared" si="25"/>
        <v>#REF!</v>
      </c>
      <c r="S110" s="14" t="e">
        <f t="shared" si="25"/>
        <v>#REF!</v>
      </c>
      <c r="T110" s="14" t="e">
        <f t="shared" si="25"/>
        <v>#REF!</v>
      </c>
      <c r="U110" s="14" t="e">
        <f t="shared" si="25"/>
        <v>#REF!</v>
      </c>
      <c r="V110" s="17">
        <f>V111+V112</f>
        <v>0</v>
      </c>
      <c r="W110" s="17" t="e">
        <f>W111+W112</f>
        <v>#REF!</v>
      </c>
    </row>
    <row r="111" spans="1:23" s="68" customFormat="1" ht="15.75">
      <c r="A111" s="64"/>
      <c r="B111" s="63" t="s">
        <v>312</v>
      </c>
      <c r="C111" s="65" t="s">
        <v>249</v>
      </c>
      <c r="D111" s="66"/>
      <c r="E111" s="65"/>
      <c r="F111" s="67">
        <v>49.598</v>
      </c>
      <c r="G111" s="67">
        <v>2.19</v>
      </c>
      <c r="H111" s="67">
        <v>13057.536</v>
      </c>
      <c r="I111" s="60" t="e">
        <f>'Исполнение тар сметы'!#REF!</f>
        <v>#REF!</v>
      </c>
      <c r="J111" s="60" t="e">
        <f>'Исполнение тар сметы'!#REF!</f>
        <v>#REF!</v>
      </c>
      <c r="K111" s="60" t="e">
        <f>'Исполнение тар сметы'!#REF!</f>
        <v>#REF!</v>
      </c>
      <c r="L111" s="60" t="e">
        <f>'Исполнение тар сметы'!#REF!</f>
        <v>#REF!</v>
      </c>
      <c r="M111" s="60" t="e">
        <f>'Исполнение тар сметы'!#REF!</f>
        <v>#REF!</v>
      </c>
      <c r="N111" s="60" t="e">
        <f>'Исполнение тар сметы'!#REF!</f>
        <v>#REF!</v>
      </c>
      <c r="O111" s="60" t="e">
        <f>'Исполнение тар сметы'!#REF!</f>
        <v>#REF!</v>
      </c>
      <c r="P111" s="60" t="e">
        <f>'Исполнение тар сметы'!#REF!</f>
        <v>#REF!</v>
      </c>
      <c r="Q111" s="60" t="e">
        <f>'Исполнение тар сметы'!#REF!</f>
        <v>#REF!</v>
      </c>
      <c r="R111" s="60" t="e">
        <f>'Исполнение тар сметы'!#REF!</f>
        <v>#REF!</v>
      </c>
      <c r="S111" s="60" t="e">
        <f>'Исполнение тар сметы'!#REF!</f>
        <v>#REF!</v>
      </c>
      <c r="T111" s="60" t="e">
        <f>'Исполнение тар сметы'!#REF!</f>
        <v>#REF!</v>
      </c>
      <c r="U111" s="13" t="e">
        <f>SUM(I111:T111)</f>
        <v>#REF!</v>
      </c>
      <c r="V111" s="60"/>
      <c r="W111" s="60"/>
    </row>
    <row r="112" spans="1:23" s="68" customFormat="1" ht="15.75">
      <c r="A112" s="64"/>
      <c r="B112" s="63" t="s">
        <v>345</v>
      </c>
      <c r="C112" s="65" t="s">
        <v>249</v>
      </c>
      <c r="D112" s="66"/>
      <c r="E112" s="65"/>
      <c r="F112" s="67"/>
      <c r="G112" s="115">
        <f>52577.659-11138.222</f>
        <v>41439.437</v>
      </c>
      <c r="H112" s="115">
        <v>159334.82917697928</v>
      </c>
      <c r="I112" s="60">
        <v>26000</v>
      </c>
      <c r="J112" s="60">
        <f>G112-I112</f>
        <v>15439.436999999998</v>
      </c>
      <c r="K112" s="60" t="e">
        <f>'Исполнение тар сметы'!#REF!</f>
        <v>#REF!</v>
      </c>
      <c r="L112" s="60" t="e">
        <f>'Исполнение тар сметы'!#REF!</f>
        <v>#REF!</v>
      </c>
      <c r="M112" s="60" t="e">
        <f>'Исполнение тар сметы'!#REF!</f>
        <v>#REF!</v>
      </c>
      <c r="N112" s="60" t="e">
        <f>'Исполнение тар сметы'!#REF!</f>
        <v>#REF!</v>
      </c>
      <c r="O112" s="60" t="e">
        <f>'Исполнение тар сметы'!#REF!</f>
        <v>#REF!</v>
      </c>
      <c r="P112" s="60" t="e">
        <f>'Исполнение тар сметы'!#REF!</f>
        <v>#REF!</v>
      </c>
      <c r="Q112" s="60" t="e">
        <f>'Исполнение тар сметы'!#REF!</f>
        <v>#REF!</v>
      </c>
      <c r="R112" s="60" t="e">
        <f>'Исполнение тар сметы'!#REF!</f>
        <v>#REF!</v>
      </c>
      <c r="S112" s="60" t="e">
        <f>'Исполнение тар сметы'!#REF!</f>
        <v>#REF!</v>
      </c>
      <c r="T112" s="60" t="e">
        <f>'Исполнение тар сметы'!#REF!</f>
        <v>#REF!</v>
      </c>
      <c r="U112" s="13" t="e">
        <f>SUM(I112:T112)</f>
        <v>#REF!</v>
      </c>
      <c r="V112" s="60"/>
      <c r="W112" s="60" t="e">
        <f>'Исполнение тар сметы'!#REF!+'Исполнение тар сметы'!#REF!</f>
        <v>#REF!</v>
      </c>
    </row>
    <row r="113" spans="1:23" ht="15.75">
      <c r="A113" s="36"/>
      <c r="B113" s="63" t="s">
        <v>18</v>
      </c>
      <c r="C113" s="65" t="s">
        <v>249</v>
      </c>
      <c r="D113" s="45"/>
      <c r="E113" s="19"/>
      <c r="F113" s="13">
        <v>7543.775</v>
      </c>
      <c r="G113" s="13">
        <v>35000</v>
      </c>
      <c r="H113" s="13">
        <v>30876.012000000006</v>
      </c>
      <c r="I113" s="15"/>
      <c r="J113" s="15"/>
      <c r="K113" s="15"/>
      <c r="L113" s="60"/>
      <c r="M113" s="60"/>
      <c r="N113" s="60"/>
      <c r="O113" s="60"/>
      <c r="P113" s="60"/>
      <c r="Q113" s="60"/>
      <c r="R113" s="60"/>
      <c r="S113" s="60"/>
      <c r="T113" s="60"/>
      <c r="U113" s="13">
        <f>SUM(I113:T113)</f>
        <v>0</v>
      </c>
      <c r="V113" s="15">
        <f>F113</f>
        <v>7543.775</v>
      </c>
      <c r="W113" s="15">
        <v>35000</v>
      </c>
    </row>
    <row r="114" spans="1:23" s="34" customFormat="1" ht="15.75">
      <c r="A114" s="41" t="s">
        <v>15</v>
      </c>
      <c r="B114" s="33" t="s">
        <v>349</v>
      </c>
      <c r="C114" s="6" t="s">
        <v>341</v>
      </c>
      <c r="D114" s="6"/>
      <c r="E114" s="49"/>
      <c r="F114" s="14">
        <f>F116+F119</f>
        <v>0</v>
      </c>
      <c r="G114" s="14">
        <f>G116+G119</f>
        <v>763962.9619999999</v>
      </c>
      <c r="H114" s="14">
        <v>697283.60022</v>
      </c>
      <c r="I114" s="14" t="e">
        <f aca="true" t="shared" si="26" ref="I114:O114">I116+I119</f>
        <v>#REF!</v>
      </c>
      <c r="J114" s="14" t="e">
        <f t="shared" si="26"/>
        <v>#REF!</v>
      </c>
      <c r="K114" s="14" t="e">
        <f t="shared" si="26"/>
        <v>#REF!</v>
      </c>
      <c r="L114" s="14" t="e">
        <f t="shared" si="26"/>
        <v>#REF!</v>
      </c>
      <c r="M114" s="14" t="e">
        <f t="shared" si="26"/>
        <v>#REF!</v>
      </c>
      <c r="N114" s="14" t="e">
        <f t="shared" si="26"/>
        <v>#REF!</v>
      </c>
      <c r="O114" s="14" t="e">
        <f t="shared" si="26"/>
        <v>#REF!</v>
      </c>
      <c r="P114" s="14" t="e">
        <f aca="true" t="shared" si="27" ref="P114:W114">P116+P119</f>
        <v>#REF!</v>
      </c>
      <c r="Q114" s="14" t="e">
        <f t="shared" si="27"/>
        <v>#REF!</v>
      </c>
      <c r="R114" s="14" t="e">
        <f t="shared" si="27"/>
        <v>#REF!</v>
      </c>
      <c r="S114" s="14" t="e">
        <f t="shared" si="27"/>
        <v>#REF!</v>
      </c>
      <c r="T114" s="14" t="e">
        <f>T116+T119</f>
        <v>#REF!</v>
      </c>
      <c r="U114" s="14" t="e">
        <f>U116+U119</f>
        <v>#REF!</v>
      </c>
      <c r="V114" s="14">
        <f t="shared" si="27"/>
        <v>0</v>
      </c>
      <c r="W114" s="14">
        <f t="shared" si="27"/>
        <v>448802.03680000006</v>
      </c>
    </row>
    <row r="115" spans="1:23" ht="15.75">
      <c r="A115" s="36"/>
      <c r="B115" s="16" t="s">
        <v>250</v>
      </c>
      <c r="C115" s="19"/>
      <c r="D115" s="19"/>
      <c r="E115" s="47"/>
      <c r="F115" s="8"/>
      <c r="G115" s="8"/>
      <c r="H115" s="8">
        <v>0</v>
      </c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3">
        <v>0</v>
      </c>
      <c r="V115" s="15"/>
      <c r="W115" s="15"/>
    </row>
    <row r="116" spans="1:23" ht="15.75">
      <c r="A116" s="36" t="s">
        <v>304</v>
      </c>
      <c r="B116" s="48" t="s">
        <v>350</v>
      </c>
      <c r="C116" s="19" t="s">
        <v>341</v>
      </c>
      <c r="D116" s="19"/>
      <c r="E116" s="47"/>
      <c r="F116" s="8"/>
      <c r="G116" s="8">
        <f>G117+G118</f>
        <v>753494.343</v>
      </c>
      <c r="H116" s="8">
        <v>465677.67302</v>
      </c>
      <c r="I116" s="15" t="e">
        <f>I117+I118</f>
        <v>#REF!</v>
      </c>
      <c r="J116" s="15" t="e">
        <f aca="true" t="shared" si="28" ref="J116:U116">J117+J118</f>
        <v>#REF!</v>
      </c>
      <c r="K116" s="15" t="e">
        <f t="shared" si="28"/>
        <v>#REF!</v>
      </c>
      <c r="L116" s="15" t="e">
        <f t="shared" si="28"/>
        <v>#REF!</v>
      </c>
      <c r="M116" s="15" t="e">
        <f t="shared" si="28"/>
        <v>#REF!</v>
      </c>
      <c r="N116" s="15" t="e">
        <f t="shared" si="28"/>
        <v>#REF!</v>
      </c>
      <c r="O116" s="15" t="e">
        <f t="shared" si="28"/>
        <v>#REF!</v>
      </c>
      <c r="P116" s="15" t="e">
        <f t="shared" si="28"/>
        <v>#REF!</v>
      </c>
      <c r="Q116" s="15" t="e">
        <f t="shared" si="28"/>
        <v>#REF!</v>
      </c>
      <c r="R116" s="15" t="e">
        <f t="shared" si="28"/>
        <v>#REF!</v>
      </c>
      <c r="S116" s="15" t="e">
        <f t="shared" si="28"/>
        <v>#REF!</v>
      </c>
      <c r="T116" s="15" t="e">
        <f t="shared" si="28"/>
        <v>#REF!</v>
      </c>
      <c r="U116" s="15" t="e">
        <f t="shared" si="28"/>
        <v>#REF!</v>
      </c>
      <c r="V116" s="15">
        <f>V117+V118</f>
        <v>0</v>
      </c>
      <c r="W116" s="15">
        <f>W117+W118</f>
        <v>391452.28800000006</v>
      </c>
    </row>
    <row r="117" spans="1:25" s="68" customFormat="1" ht="25.5">
      <c r="A117" s="64" t="s">
        <v>314</v>
      </c>
      <c r="B117" s="63" t="s">
        <v>303</v>
      </c>
      <c r="C117" s="65" t="s">
        <v>249</v>
      </c>
      <c r="D117" s="66"/>
      <c r="E117" s="65"/>
      <c r="F117" s="111"/>
      <c r="G117" s="67">
        <v>701.487</v>
      </c>
      <c r="H117" s="67">
        <v>104337.10502</v>
      </c>
      <c r="I117" s="60" t="e">
        <f>'Исполнение тар сметы'!#REF!</f>
        <v>#REF!</v>
      </c>
      <c r="J117" s="60" t="e">
        <f>'Исполнение тар сметы'!#REF!</f>
        <v>#REF!</v>
      </c>
      <c r="K117" s="60" t="e">
        <f>'Исполнение тар сметы'!#REF!</f>
        <v>#REF!</v>
      </c>
      <c r="L117" s="60" t="e">
        <f>'Исполнение тар сметы'!#REF!</f>
        <v>#REF!</v>
      </c>
      <c r="M117" s="60" t="e">
        <f>'Исполнение тар сметы'!#REF!</f>
        <v>#REF!</v>
      </c>
      <c r="N117" s="60" t="e">
        <f>'Исполнение тар сметы'!#REF!</f>
        <v>#REF!</v>
      </c>
      <c r="O117" s="60" t="e">
        <f>'Исполнение тар сметы'!#REF!</f>
        <v>#REF!</v>
      </c>
      <c r="P117" s="60" t="e">
        <f>'Исполнение тар сметы'!#REF!</f>
        <v>#REF!</v>
      </c>
      <c r="Q117" s="60" t="e">
        <f>'Исполнение тар сметы'!#REF!</f>
        <v>#REF!</v>
      </c>
      <c r="R117" s="60" t="e">
        <f>'Исполнение тар сметы'!#REF!</f>
        <v>#REF!</v>
      </c>
      <c r="S117" s="60" t="e">
        <f>'Исполнение тар сметы'!#REF!</f>
        <v>#REF!</v>
      </c>
      <c r="T117" s="60" t="e">
        <f>'Исполнение тар сметы'!#REF!</f>
        <v>#REF!</v>
      </c>
      <c r="U117" s="13" t="e">
        <f>SUM(I117:T117)</f>
        <v>#REF!</v>
      </c>
      <c r="V117" s="60"/>
      <c r="W117" s="60"/>
      <c r="Y117" s="61"/>
    </row>
    <row r="118" spans="1:23" s="68" customFormat="1" ht="15.75">
      <c r="A118" s="64" t="s">
        <v>315</v>
      </c>
      <c r="B118" s="112" t="s">
        <v>311</v>
      </c>
      <c r="C118" s="65" t="s">
        <v>249</v>
      </c>
      <c r="D118" s="66"/>
      <c r="E118" s="65"/>
      <c r="F118" s="111"/>
      <c r="G118" s="67">
        <v>752792.856</v>
      </c>
      <c r="H118" s="67">
        <v>361340.56799999997</v>
      </c>
      <c r="I118" s="60">
        <v>30111.714</v>
      </c>
      <c r="J118" s="60">
        <v>30111.714</v>
      </c>
      <c r="K118" s="60">
        <v>30111.714</v>
      </c>
      <c r="L118" s="60">
        <v>30111.714</v>
      </c>
      <c r="M118" s="60">
        <v>30111.714</v>
      </c>
      <c r="N118" s="60">
        <v>30111.714</v>
      </c>
      <c r="O118" s="60">
        <v>30111.714</v>
      </c>
      <c r="P118" s="60">
        <v>30111.714</v>
      </c>
      <c r="Q118" s="60">
        <v>30111.714</v>
      </c>
      <c r="R118" s="60">
        <v>30111.714</v>
      </c>
      <c r="S118" s="60">
        <v>30111.714</v>
      </c>
      <c r="T118" s="60">
        <v>30111.714</v>
      </c>
      <c r="U118" s="13">
        <f>SUM(I118:T118)</f>
        <v>361340.56799999997</v>
      </c>
      <c r="V118" s="60"/>
      <c r="W118" s="60">
        <f>G118-U118</f>
        <v>391452.28800000006</v>
      </c>
    </row>
    <row r="119" spans="1:23" ht="15.75">
      <c r="A119" s="36" t="s">
        <v>305</v>
      </c>
      <c r="B119" s="48" t="s">
        <v>313</v>
      </c>
      <c r="C119" s="19" t="s">
        <v>341</v>
      </c>
      <c r="D119" s="45"/>
      <c r="E119" s="19"/>
      <c r="F119" s="15">
        <f>SUM(F121:F138)</f>
        <v>0</v>
      </c>
      <c r="G119" s="15">
        <f>SUM(G121:G138)</f>
        <v>10468.619</v>
      </c>
      <c r="H119" s="15">
        <f aca="true" t="shared" si="29" ref="H119:T119">SUM(H121:H138)</f>
        <v>191402.5712</v>
      </c>
      <c r="I119" s="15" t="e">
        <f t="shared" si="29"/>
        <v>#REF!</v>
      </c>
      <c r="J119" s="15" t="e">
        <f t="shared" si="29"/>
        <v>#REF!</v>
      </c>
      <c r="K119" s="15" t="e">
        <f t="shared" si="29"/>
        <v>#REF!</v>
      </c>
      <c r="L119" s="15" t="e">
        <f t="shared" si="29"/>
        <v>#REF!</v>
      </c>
      <c r="M119" s="15" t="e">
        <f t="shared" si="29"/>
        <v>#REF!</v>
      </c>
      <c r="N119" s="15" t="e">
        <f t="shared" si="29"/>
        <v>#REF!</v>
      </c>
      <c r="O119" s="15" t="e">
        <f t="shared" si="29"/>
        <v>#REF!</v>
      </c>
      <c r="P119" s="15" t="e">
        <f t="shared" si="29"/>
        <v>#REF!</v>
      </c>
      <c r="Q119" s="15" t="e">
        <f t="shared" si="29"/>
        <v>#REF!</v>
      </c>
      <c r="R119" s="15" t="e">
        <f t="shared" si="29"/>
        <v>#REF!</v>
      </c>
      <c r="S119" s="15" t="e">
        <f t="shared" si="29"/>
        <v>#REF!</v>
      </c>
      <c r="T119" s="15" t="e">
        <f t="shared" si="29"/>
        <v>#REF!</v>
      </c>
      <c r="U119" s="13" t="e">
        <f>SUM(I119:T119)</f>
        <v>#REF!</v>
      </c>
      <c r="V119" s="15">
        <f>SUM(V121:V138)</f>
        <v>0</v>
      </c>
      <c r="W119" s="15">
        <f>SUM(W121:W138)</f>
        <v>57349.7488</v>
      </c>
    </row>
    <row r="120" spans="1:23" s="68" customFormat="1" ht="15.75">
      <c r="A120" s="64"/>
      <c r="B120" s="112" t="s">
        <v>250</v>
      </c>
      <c r="C120" s="65"/>
      <c r="D120" s="66"/>
      <c r="E120" s="65"/>
      <c r="F120" s="111"/>
      <c r="G120" s="67"/>
      <c r="H120" s="67">
        <v>0</v>
      </c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3">
        <f>SUM(I120:T120)</f>
        <v>0</v>
      </c>
      <c r="V120" s="60"/>
      <c r="W120" s="60"/>
    </row>
    <row r="121" spans="1:23" s="68" customFormat="1" ht="15.75">
      <c r="A121" s="64" t="s">
        <v>382</v>
      </c>
      <c r="B121" s="112" t="s">
        <v>236</v>
      </c>
      <c r="C121" s="65" t="s">
        <v>249</v>
      </c>
      <c r="D121" s="66"/>
      <c r="E121" s="65"/>
      <c r="F121" s="67"/>
      <c r="G121" s="67">
        <f>1825.5+3143.02</f>
        <v>4968.52</v>
      </c>
      <c r="H121" s="67">
        <v>63797.171200000004</v>
      </c>
      <c r="I121" s="60"/>
      <c r="J121" s="60">
        <f>G121</f>
        <v>4968.52</v>
      </c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3">
        <f aca="true" t="shared" si="30" ref="U121:U128">SUM(I121:T121)</f>
        <v>4968.52</v>
      </c>
      <c r="V121" s="60"/>
      <c r="W121" s="60"/>
    </row>
    <row r="122" spans="1:23" s="68" customFormat="1" ht="15.75">
      <c r="A122" s="64" t="s">
        <v>383</v>
      </c>
      <c r="B122" s="112" t="s">
        <v>239</v>
      </c>
      <c r="C122" s="65" t="s">
        <v>249</v>
      </c>
      <c r="D122" s="66"/>
      <c r="E122" s="65"/>
      <c r="F122" s="67"/>
      <c r="G122" s="67">
        <v>2966.654</v>
      </c>
      <c r="H122" s="67">
        <v>90329.88</v>
      </c>
      <c r="I122" s="60">
        <f>G122</f>
        <v>2966.654</v>
      </c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3">
        <f t="shared" si="30"/>
        <v>2966.654</v>
      </c>
      <c r="V122" s="60"/>
      <c r="W122" s="60"/>
    </row>
    <row r="123" spans="1:23" s="68" customFormat="1" ht="15.75">
      <c r="A123" s="64" t="s">
        <v>384</v>
      </c>
      <c r="B123" s="112" t="s">
        <v>240</v>
      </c>
      <c r="C123" s="65" t="s">
        <v>249</v>
      </c>
      <c r="D123" s="66"/>
      <c r="E123" s="65"/>
      <c r="F123" s="67"/>
      <c r="G123" s="67">
        <v>2533.445</v>
      </c>
      <c r="H123" s="67">
        <v>10372.68</v>
      </c>
      <c r="I123" s="60"/>
      <c r="J123" s="60">
        <f>G123</f>
        <v>2533.445</v>
      </c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3">
        <f t="shared" si="30"/>
        <v>2533.445</v>
      </c>
      <c r="V123" s="60"/>
      <c r="W123" s="60"/>
    </row>
    <row r="124" spans="1:23" s="68" customFormat="1" ht="25.5">
      <c r="A124" s="64" t="s">
        <v>385</v>
      </c>
      <c r="B124" s="112" t="s">
        <v>296</v>
      </c>
      <c r="C124" s="65" t="s">
        <v>249</v>
      </c>
      <c r="D124" s="66"/>
      <c r="E124" s="65"/>
      <c r="F124" s="67"/>
      <c r="G124" s="67"/>
      <c r="H124" s="67">
        <v>1464.88</v>
      </c>
      <c r="I124" s="60" t="e">
        <f>#REF!/1000*1.12</f>
        <v>#REF!</v>
      </c>
      <c r="J124" s="60" t="e">
        <f>#REF!/1000*1.12</f>
        <v>#REF!</v>
      </c>
      <c r="K124" s="60" t="e">
        <f>#REF!/1000*1.12</f>
        <v>#REF!</v>
      </c>
      <c r="L124" s="60"/>
      <c r="M124" s="60" t="e">
        <f>#REF!/1000*1.12</f>
        <v>#REF!</v>
      </c>
      <c r="N124" s="60" t="e">
        <f>#REF!/1000*1.12</f>
        <v>#REF!</v>
      </c>
      <c r="O124" s="60" t="e">
        <f>#REF!/1000*1.12</f>
        <v>#REF!</v>
      </c>
      <c r="P124" s="60" t="e">
        <f>#REF!/1000*1.12</f>
        <v>#REF!</v>
      </c>
      <c r="Q124" s="60" t="e">
        <f>#REF!/1000*1.12</f>
        <v>#REF!</v>
      </c>
      <c r="R124" s="60" t="e">
        <f>#REF!/1000*1.12</f>
        <v>#REF!</v>
      </c>
      <c r="S124" s="60" t="e">
        <f>#REF!/1000*1.12</f>
        <v>#REF!</v>
      </c>
      <c r="T124" s="60" t="e">
        <f>#REF!/1000*1.12</f>
        <v>#REF!</v>
      </c>
      <c r="U124" s="13" t="e">
        <f t="shared" si="30"/>
        <v>#REF!</v>
      </c>
      <c r="V124" s="60"/>
      <c r="W124" s="60">
        <f>21800.43*1.12</f>
        <v>24416.481600000003</v>
      </c>
    </row>
    <row r="125" spans="1:23" s="68" customFormat="1" ht="25.5">
      <c r="A125" s="64" t="s">
        <v>386</v>
      </c>
      <c r="B125" s="112" t="s">
        <v>199</v>
      </c>
      <c r="C125" s="65" t="s">
        <v>249</v>
      </c>
      <c r="D125" s="66"/>
      <c r="E125" s="65"/>
      <c r="F125" s="111"/>
      <c r="G125" s="67"/>
      <c r="H125" s="67">
        <v>24165.84</v>
      </c>
      <c r="I125" s="60" t="e">
        <f>#REF!/1000*1.12</f>
        <v>#REF!</v>
      </c>
      <c r="J125" s="60" t="e">
        <f>#REF!/1000*1.12</f>
        <v>#REF!</v>
      </c>
      <c r="K125" s="60">
        <f>K127</f>
        <v>5971.358399999999</v>
      </c>
      <c r="L125" s="60" t="e">
        <f>#REF!/1000*1.12</f>
        <v>#REF!</v>
      </c>
      <c r="M125" s="60" t="e">
        <f>#REF!/1000*1.12</f>
        <v>#REF!</v>
      </c>
      <c r="N125" s="60" t="e">
        <f>#REF!/1000*1.12</f>
        <v>#REF!</v>
      </c>
      <c r="O125" s="60" t="e">
        <f>#REF!/1000*1.12</f>
        <v>#REF!</v>
      </c>
      <c r="P125" s="60" t="e">
        <f>#REF!/1000*1.12</f>
        <v>#REF!</v>
      </c>
      <c r="Q125" s="60" t="e">
        <f>#REF!/1000*1.12</f>
        <v>#REF!</v>
      </c>
      <c r="R125" s="60" t="e">
        <f>#REF!/1000*1.12</f>
        <v>#REF!</v>
      </c>
      <c r="S125" s="60" t="e">
        <f>#REF!/1000*1.12</f>
        <v>#REF!</v>
      </c>
      <c r="T125" s="60" t="e">
        <f>#REF!/1000*1.12</f>
        <v>#REF!</v>
      </c>
      <c r="U125" s="13" t="e">
        <f t="shared" si="30"/>
        <v>#REF!</v>
      </c>
      <c r="V125" s="60"/>
      <c r="W125" s="60">
        <f>W126+W127</f>
        <v>16466.6336</v>
      </c>
    </row>
    <row r="126" spans="1:23" s="151" customFormat="1" ht="12">
      <c r="A126" s="145"/>
      <c r="B126" s="146" t="s">
        <v>297</v>
      </c>
      <c r="C126" s="147" t="s">
        <v>249</v>
      </c>
      <c r="D126" s="148"/>
      <c r="E126" s="147"/>
      <c r="F126" s="149"/>
      <c r="G126" s="150"/>
      <c r="H126" s="150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50"/>
      <c r="V126" s="117"/>
      <c r="W126" s="117">
        <f>9370.78*1.12</f>
        <v>10495.273600000002</v>
      </c>
    </row>
    <row r="127" spans="1:23" s="68" customFormat="1" ht="15.75">
      <c r="A127" s="64"/>
      <c r="B127" s="146" t="s">
        <v>298</v>
      </c>
      <c r="C127" s="147" t="s">
        <v>249</v>
      </c>
      <c r="D127" s="66"/>
      <c r="E127" s="65"/>
      <c r="F127" s="111"/>
      <c r="G127" s="67"/>
      <c r="H127" s="67"/>
      <c r="I127" s="60"/>
      <c r="J127" s="60"/>
      <c r="K127" s="60">
        <f>(20033.92-9370.78)*1.12*0.5</f>
        <v>5971.358399999999</v>
      </c>
      <c r="L127" s="60"/>
      <c r="M127" s="60"/>
      <c r="N127" s="60"/>
      <c r="O127" s="60"/>
      <c r="P127" s="60"/>
      <c r="Q127" s="60"/>
      <c r="R127" s="60"/>
      <c r="S127" s="60"/>
      <c r="T127" s="60"/>
      <c r="U127" s="13"/>
      <c r="V127" s="60"/>
      <c r="W127" s="60">
        <v>5971.36</v>
      </c>
    </row>
    <row r="128" spans="1:23" s="68" customFormat="1" ht="25.5">
      <c r="A128" s="64" t="s">
        <v>387</v>
      </c>
      <c r="B128" s="112" t="s">
        <v>200</v>
      </c>
      <c r="C128" s="65" t="s">
        <v>249</v>
      </c>
      <c r="D128" s="66"/>
      <c r="E128" s="65"/>
      <c r="F128" s="111"/>
      <c r="G128" s="67"/>
      <c r="H128" s="67">
        <v>496.8</v>
      </c>
      <c r="I128" s="60" t="e">
        <f>#REF!/1000*1.12</f>
        <v>#REF!</v>
      </c>
      <c r="J128" s="60" t="e">
        <f>#REF!/1000*1.12</f>
        <v>#REF!</v>
      </c>
      <c r="K128" s="60" t="e">
        <f>#REF!/1000*1.12</f>
        <v>#REF!</v>
      </c>
      <c r="L128" s="60" t="e">
        <f>#REF!/1000*1.12</f>
        <v>#REF!</v>
      </c>
      <c r="M128" s="60" t="e">
        <f>#REF!/1000*1.12/3</f>
        <v>#REF!</v>
      </c>
      <c r="N128" s="60" t="e">
        <f>#REF!/1000*1.12</f>
        <v>#REF!</v>
      </c>
      <c r="O128" s="60" t="e">
        <f>#REF!/1000*1.12</f>
        <v>#REF!</v>
      </c>
      <c r="P128" s="60" t="e">
        <f>#REF!/1000*1.12</f>
        <v>#REF!</v>
      </c>
      <c r="Q128" s="60" t="e">
        <f>#REF!/1000*1.12</f>
        <v>#REF!</v>
      </c>
      <c r="R128" s="60" t="e">
        <f>#REF!/1000*1.12</f>
        <v>#REF!</v>
      </c>
      <c r="S128" s="60" t="e">
        <f>#REF!/1000*1.12</f>
        <v>#REF!</v>
      </c>
      <c r="T128" s="60" t="e">
        <f>#REF!/1000*1.12</f>
        <v>#REF!</v>
      </c>
      <c r="U128" s="13" t="e">
        <f t="shared" si="30"/>
        <v>#REF!</v>
      </c>
      <c r="V128" s="60"/>
      <c r="W128" s="60"/>
    </row>
    <row r="129" spans="1:23" s="68" customFormat="1" ht="25.5">
      <c r="A129" s="64" t="s">
        <v>388</v>
      </c>
      <c r="B129" s="112" t="s">
        <v>204</v>
      </c>
      <c r="C129" s="65" t="s">
        <v>249</v>
      </c>
      <c r="D129" s="66"/>
      <c r="E129" s="65"/>
      <c r="F129" s="111"/>
      <c r="G129" s="67"/>
      <c r="H129" s="67">
        <v>775.32</v>
      </c>
      <c r="I129" s="60" t="e">
        <f>#REF!/1000*1.12</f>
        <v>#REF!</v>
      </c>
      <c r="J129" s="60" t="e">
        <f>#REF!/1000*1.12</f>
        <v>#REF!</v>
      </c>
      <c r="K129" s="60" t="e">
        <f>#REF!/1000*1.12</f>
        <v>#REF!</v>
      </c>
      <c r="L129" s="60" t="e">
        <f>#REF!/1000*1.12</f>
        <v>#REF!</v>
      </c>
      <c r="M129" s="60" t="e">
        <f>#REF!/1000*1.12</f>
        <v>#REF!</v>
      </c>
      <c r="N129" s="60" t="e">
        <f>#REF!/1000*1.12</f>
        <v>#REF!</v>
      </c>
      <c r="O129" s="60" t="e">
        <f>#REF!/1000*1.12</f>
        <v>#REF!</v>
      </c>
      <c r="P129" s="60" t="e">
        <f>#REF!/1000*1.12</f>
        <v>#REF!</v>
      </c>
      <c r="Q129" s="60" t="e">
        <f>#REF!/1000*1.12</f>
        <v>#REF!</v>
      </c>
      <c r="R129" s="60" t="e">
        <f>#REF!/1000*1.12</f>
        <v>#REF!</v>
      </c>
      <c r="S129" s="60" t="e">
        <f>#REF!/1000*1.12</f>
        <v>#REF!</v>
      </c>
      <c r="T129" s="60" t="e">
        <f>#REF!/1000*1.12</f>
        <v>#REF!</v>
      </c>
      <c r="U129" s="13" t="e">
        <f aca="true" t="shared" si="31" ref="U129:U138">SUM(I129:T129)</f>
        <v>#REF!</v>
      </c>
      <c r="V129" s="60"/>
      <c r="W129" s="60"/>
    </row>
    <row r="130" spans="1:23" s="68" customFormat="1" ht="38.25">
      <c r="A130" s="64" t="s">
        <v>209</v>
      </c>
      <c r="B130" s="112" t="s">
        <v>379</v>
      </c>
      <c r="C130" s="65" t="s">
        <v>249</v>
      </c>
      <c r="D130" s="66"/>
      <c r="E130" s="65"/>
      <c r="F130" s="111"/>
      <c r="G130" s="67"/>
      <c r="H130" s="67"/>
      <c r="I130" s="60" t="e">
        <f>#REF!/1000*1.12</f>
        <v>#REF!</v>
      </c>
      <c r="J130" s="60" t="e">
        <f>#REF!/1000*1.12*0.5</f>
        <v>#REF!</v>
      </c>
      <c r="K130" s="60" t="e">
        <f>#REF!/1000*1.12</f>
        <v>#REF!</v>
      </c>
      <c r="L130" s="60" t="e">
        <f>#REF!/1000*1.12</f>
        <v>#REF!</v>
      </c>
      <c r="M130" s="60" t="e">
        <f>#REF!/1000*1.12</f>
        <v>#REF!</v>
      </c>
      <c r="N130" s="60" t="e">
        <f>#REF!/1000*1.12</f>
        <v>#REF!</v>
      </c>
      <c r="O130" s="60" t="e">
        <f>#REF!/1000*1.12</f>
        <v>#REF!</v>
      </c>
      <c r="P130" s="60" t="e">
        <f>#REF!/1000*1.12</f>
        <v>#REF!</v>
      </c>
      <c r="Q130" s="60" t="e">
        <f>#REF!/1000*1.12</f>
        <v>#REF!</v>
      </c>
      <c r="R130" s="60" t="e">
        <f>#REF!/1000*1.12</f>
        <v>#REF!</v>
      </c>
      <c r="S130" s="60" t="e">
        <f>#REF!/1000*1.12</f>
        <v>#REF!</v>
      </c>
      <c r="T130" s="60" t="e">
        <f>J130</f>
        <v>#REF!</v>
      </c>
      <c r="U130" s="13" t="e">
        <f t="shared" si="31"/>
        <v>#REF!</v>
      </c>
      <c r="V130" s="60"/>
      <c r="W130" s="60"/>
    </row>
    <row r="131" spans="1:23" s="68" customFormat="1" ht="38.25">
      <c r="A131" s="64" t="s">
        <v>210</v>
      </c>
      <c r="B131" s="112" t="s">
        <v>380</v>
      </c>
      <c r="C131" s="65" t="s">
        <v>249</v>
      </c>
      <c r="D131" s="66"/>
      <c r="E131" s="65"/>
      <c r="F131" s="111"/>
      <c r="G131" s="67"/>
      <c r="H131" s="67"/>
      <c r="I131" s="60" t="e">
        <f>#REF!/1000*1.12</f>
        <v>#REF!</v>
      </c>
      <c r="J131" s="60" t="e">
        <f>#REF!/1000*1.12*0.5</f>
        <v>#REF!</v>
      </c>
      <c r="K131" s="60" t="e">
        <f>#REF!/1000*1.12</f>
        <v>#REF!</v>
      </c>
      <c r="L131" s="60" t="e">
        <f>#REF!/1000*1.12</f>
        <v>#REF!</v>
      </c>
      <c r="M131" s="60" t="e">
        <f>#REF!/1000*1.12</f>
        <v>#REF!</v>
      </c>
      <c r="N131" s="60" t="e">
        <f>#REF!/1000*1.12</f>
        <v>#REF!</v>
      </c>
      <c r="O131" s="60" t="e">
        <f>#REF!/1000*1.12</f>
        <v>#REF!</v>
      </c>
      <c r="P131" s="60" t="e">
        <f>#REF!/1000*1.12</f>
        <v>#REF!</v>
      </c>
      <c r="Q131" s="60" t="e">
        <f>#REF!/1000*1.12</f>
        <v>#REF!</v>
      </c>
      <c r="R131" s="60" t="e">
        <f>#REF!/1000*1.12</f>
        <v>#REF!</v>
      </c>
      <c r="S131" s="60" t="e">
        <f>#REF!/1000*1.12</f>
        <v>#REF!</v>
      </c>
      <c r="T131" s="60" t="e">
        <f>J131</f>
        <v>#REF!</v>
      </c>
      <c r="U131" s="13" t="e">
        <f t="shared" si="31"/>
        <v>#REF!</v>
      </c>
      <c r="V131" s="60"/>
      <c r="W131" s="60"/>
    </row>
    <row r="132" spans="1:23" s="68" customFormat="1" ht="38.25">
      <c r="A132" s="64" t="s">
        <v>211</v>
      </c>
      <c r="B132" s="112" t="s">
        <v>319</v>
      </c>
      <c r="C132" s="65" t="s">
        <v>249</v>
      </c>
      <c r="D132" s="66"/>
      <c r="E132" s="65"/>
      <c r="F132" s="111"/>
      <c r="G132" s="67"/>
      <c r="H132" s="67"/>
      <c r="I132" s="60" t="e">
        <f>#REF!/1000*1.12</f>
        <v>#REF!</v>
      </c>
      <c r="J132" s="60" t="e">
        <f>#REF!/1000*1.12*0.5</f>
        <v>#REF!</v>
      </c>
      <c r="K132" s="60" t="e">
        <f>#REF!/1000*1.12</f>
        <v>#REF!</v>
      </c>
      <c r="L132" s="60" t="e">
        <f>#REF!/1000*1.12</f>
        <v>#REF!</v>
      </c>
      <c r="M132" s="60" t="e">
        <f>#REF!/1000*1.12</f>
        <v>#REF!</v>
      </c>
      <c r="N132" s="60" t="e">
        <f>#REF!/1000*1.12</f>
        <v>#REF!</v>
      </c>
      <c r="O132" s="60" t="e">
        <f>#REF!/1000*1.12</f>
        <v>#REF!</v>
      </c>
      <c r="P132" s="60" t="e">
        <f>#REF!/1000*1.12</f>
        <v>#REF!</v>
      </c>
      <c r="Q132" s="60" t="e">
        <f>#REF!/1000*1.12</f>
        <v>#REF!</v>
      </c>
      <c r="R132" s="60" t="e">
        <f>#REF!/1000*1.12</f>
        <v>#REF!</v>
      </c>
      <c r="S132" s="60" t="e">
        <f>#REF!/1000*1.12</f>
        <v>#REF!</v>
      </c>
      <c r="T132" s="60" t="e">
        <f>J132</f>
        <v>#REF!</v>
      </c>
      <c r="U132" s="13" t="e">
        <f t="shared" si="31"/>
        <v>#REF!</v>
      </c>
      <c r="V132" s="60"/>
      <c r="W132" s="60"/>
    </row>
    <row r="133" spans="1:23" s="68" customFormat="1" ht="15.75">
      <c r="A133" s="64" t="s">
        <v>212</v>
      </c>
      <c r="B133" s="112" t="s">
        <v>381</v>
      </c>
      <c r="C133" s="65" t="s">
        <v>249</v>
      </c>
      <c r="D133" s="66"/>
      <c r="E133" s="65"/>
      <c r="F133" s="111"/>
      <c r="G133" s="67"/>
      <c r="H133" s="67"/>
      <c r="I133" s="60" t="e">
        <f>#REF!/1000*1.12</f>
        <v>#REF!</v>
      </c>
      <c r="J133" s="60" t="e">
        <f>#REF!/1000*1.12</f>
        <v>#REF!</v>
      </c>
      <c r="K133" s="60" t="e">
        <f>#REF!/1000*1.12</f>
        <v>#REF!</v>
      </c>
      <c r="L133" s="60" t="e">
        <f>#REF!/1000*1.12</f>
        <v>#REF!</v>
      </c>
      <c r="M133" s="60" t="e">
        <f>#REF!/1000*1.12</f>
        <v>#REF!</v>
      </c>
      <c r="N133" s="60" t="e">
        <f>#REF!/1000*1.12</f>
        <v>#REF!</v>
      </c>
      <c r="O133" s="60" t="e">
        <f>#REF!/1000*1.12</f>
        <v>#REF!</v>
      </c>
      <c r="P133" s="60" t="e">
        <f>#REF!/1000*1.12</f>
        <v>#REF!</v>
      </c>
      <c r="Q133" s="60" t="e">
        <f>#REF!/1000*1.12</f>
        <v>#REF!</v>
      </c>
      <c r="R133" s="60" t="e">
        <f>#REF!/1000*1.12</f>
        <v>#REF!</v>
      </c>
      <c r="S133" s="60" t="e">
        <f>#REF!/1000*1.12</f>
        <v>#REF!</v>
      </c>
      <c r="T133" s="60" t="e">
        <f>#REF!/1000*1.12</f>
        <v>#REF!</v>
      </c>
      <c r="U133" s="13" t="e">
        <f t="shared" si="31"/>
        <v>#REF!</v>
      </c>
      <c r="V133" s="60"/>
      <c r="W133" s="60"/>
    </row>
    <row r="134" spans="1:23" s="68" customFormat="1" ht="15.75">
      <c r="A134" s="64" t="s">
        <v>213</v>
      </c>
      <c r="B134" s="112" t="s">
        <v>285</v>
      </c>
      <c r="C134" s="65" t="s">
        <v>249</v>
      </c>
      <c r="D134" s="66"/>
      <c r="E134" s="65"/>
      <c r="F134" s="111"/>
      <c r="G134" s="67"/>
      <c r="H134" s="67"/>
      <c r="I134" s="60" t="e">
        <f>#REF!/1000*1.12</f>
        <v>#REF!</v>
      </c>
      <c r="J134" s="60" t="e">
        <f>#REF!/1000*1.12</f>
        <v>#REF!</v>
      </c>
      <c r="K134" s="60" t="e">
        <f>#REF!/1000*1.12</f>
        <v>#REF!</v>
      </c>
      <c r="L134" s="60" t="e">
        <f>#REF!/1000*1.12</f>
        <v>#REF!</v>
      </c>
      <c r="M134" s="60" t="e">
        <f>#REF!/1000*1.12</f>
        <v>#REF!</v>
      </c>
      <c r="N134" s="60" t="e">
        <f>#REF!/1000*1.12</f>
        <v>#REF!</v>
      </c>
      <c r="O134" s="60" t="e">
        <f>#REF!/1000*1.12</f>
        <v>#REF!</v>
      </c>
      <c r="P134" s="60" t="e">
        <f>#REF!/1000*1.12</f>
        <v>#REF!</v>
      </c>
      <c r="Q134" s="60" t="e">
        <f>#REF!/1000*1.12</f>
        <v>#REF!</v>
      </c>
      <c r="R134" s="60" t="e">
        <f>#REF!/1000*1.12</f>
        <v>#REF!</v>
      </c>
      <c r="S134" s="60" t="e">
        <f>#REF!/1000*1.12</f>
        <v>#REF!</v>
      </c>
      <c r="T134" s="60" t="e">
        <f>#REF!/1000*1.12</f>
        <v>#REF!</v>
      </c>
      <c r="U134" s="13" t="e">
        <f t="shared" si="31"/>
        <v>#REF!</v>
      </c>
      <c r="V134" s="60"/>
      <c r="W134" s="60"/>
    </row>
    <row r="135" spans="1:23" s="68" customFormat="1" ht="25.5">
      <c r="A135" s="64" t="s">
        <v>214</v>
      </c>
      <c r="B135" s="112" t="s">
        <v>286</v>
      </c>
      <c r="C135" s="65" t="s">
        <v>249</v>
      </c>
      <c r="D135" s="66"/>
      <c r="E135" s="65"/>
      <c r="F135" s="111"/>
      <c r="G135" s="67"/>
      <c r="H135" s="67"/>
      <c r="I135" s="60" t="e">
        <f>#REF!/1000*1.12</f>
        <v>#REF!</v>
      </c>
      <c r="J135" s="60" t="e">
        <f>#REF!/1000*1.12</f>
        <v>#REF!</v>
      </c>
      <c r="K135" s="60" t="e">
        <f>#REF!/1000*1.12</f>
        <v>#REF!</v>
      </c>
      <c r="L135" s="60" t="e">
        <f>#REF!/1000*1.12</f>
        <v>#REF!</v>
      </c>
      <c r="M135" s="60" t="e">
        <f>#REF!/1000*1.12</f>
        <v>#REF!</v>
      </c>
      <c r="N135" s="60" t="e">
        <f>#REF!/1000*1.12</f>
        <v>#REF!</v>
      </c>
      <c r="O135" s="60" t="e">
        <f>#REF!/1000*1.12</f>
        <v>#REF!</v>
      </c>
      <c r="P135" s="60" t="e">
        <f>#REF!/1000*1.12</f>
        <v>#REF!</v>
      </c>
      <c r="Q135" s="60" t="e">
        <f>#REF!/1000*1.12</f>
        <v>#REF!</v>
      </c>
      <c r="R135" s="60" t="e">
        <f>#REF!/1000*1.12</f>
        <v>#REF!</v>
      </c>
      <c r="S135" s="60" t="e">
        <f>#REF!/1000*1.12</f>
        <v>#REF!</v>
      </c>
      <c r="T135" s="60" t="e">
        <f>#REF!/1000*1.12</f>
        <v>#REF!</v>
      </c>
      <c r="U135" s="13" t="e">
        <f t="shared" si="31"/>
        <v>#REF!</v>
      </c>
      <c r="V135" s="60"/>
      <c r="W135" s="60"/>
    </row>
    <row r="136" spans="1:23" s="68" customFormat="1" ht="15.75">
      <c r="A136" s="64" t="s">
        <v>215</v>
      </c>
      <c r="B136" s="112" t="s">
        <v>287</v>
      </c>
      <c r="C136" s="65" t="s">
        <v>249</v>
      </c>
      <c r="D136" s="66"/>
      <c r="E136" s="65"/>
      <c r="F136" s="111"/>
      <c r="G136" s="67"/>
      <c r="H136" s="67"/>
      <c r="I136" s="60" t="e">
        <f>#REF!/1000*1.12</f>
        <v>#REF!</v>
      </c>
      <c r="J136" s="60" t="e">
        <f>#REF!/1000*1.12</f>
        <v>#REF!</v>
      </c>
      <c r="K136" s="60" t="e">
        <f>#REF!/1000*1.12</f>
        <v>#REF!</v>
      </c>
      <c r="L136" s="60" t="e">
        <f>#REF!/1000*1.12</f>
        <v>#REF!</v>
      </c>
      <c r="M136" s="60" t="e">
        <f>#REF!/1000*1.12</f>
        <v>#REF!</v>
      </c>
      <c r="N136" s="60" t="e">
        <f>#REF!/1000*1.12</f>
        <v>#REF!</v>
      </c>
      <c r="O136" s="60" t="e">
        <f>#REF!/1000*1.12</f>
        <v>#REF!</v>
      </c>
      <c r="P136" s="60" t="e">
        <f>#REF!/1000*1.12</f>
        <v>#REF!</v>
      </c>
      <c r="Q136" s="60" t="e">
        <f>#REF!/1000*1.12</f>
        <v>#REF!</v>
      </c>
      <c r="R136" s="60" t="e">
        <f>#REF!/1000*1.12</f>
        <v>#REF!</v>
      </c>
      <c r="S136" s="60" t="e">
        <f>#REF!/1000*1.12</f>
        <v>#REF!</v>
      </c>
      <c r="T136" s="60" t="e">
        <f>#REF!/1000*1.12</f>
        <v>#REF!</v>
      </c>
      <c r="U136" s="13" t="e">
        <f t="shared" si="31"/>
        <v>#REF!</v>
      </c>
      <c r="V136" s="60"/>
      <c r="W136" s="60"/>
    </row>
    <row r="137" spans="1:23" s="68" customFormat="1" ht="25.5">
      <c r="A137" s="64" t="s">
        <v>216</v>
      </c>
      <c r="B137" s="112" t="s">
        <v>49</v>
      </c>
      <c r="C137" s="65" t="s">
        <v>249</v>
      </c>
      <c r="D137" s="66"/>
      <c r="E137" s="65"/>
      <c r="F137" s="111"/>
      <c r="G137" s="67"/>
      <c r="H137" s="67"/>
      <c r="I137" s="60" t="e">
        <f>#REF!/1000*1.12</f>
        <v>#REF!</v>
      </c>
      <c r="J137" s="60" t="e">
        <f>#REF!/1000*1.12</f>
        <v>#REF!</v>
      </c>
      <c r="K137" s="60" t="e">
        <f>#REF!/1000*1.12</f>
        <v>#REF!</v>
      </c>
      <c r="L137" s="60" t="e">
        <f>#REF!/1000*1.12</f>
        <v>#REF!</v>
      </c>
      <c r="M137" s="60" t="e">
        <f>#REF!/1000*1.12</f>
        <v>#REF!</v>
      </c>
      <c r="N137" s="60" t="e">
        <f>#REF!/1000*1.12</f>
        <v>#REF!</v>
      </c>
      <c r="O137" s="60" t="e">
        <f>#REF!/1000*1.12</f>
        <v>#REF!</v>
      </c>
      <c r="P137" s="60" t="e">
        <f>#REF!/1000*1.12</f>
        <v>#REF!</v>
      </c>
      <c r="Q137" s="60" t="e">
        <f>#REF!/1000*1.12</f>
        <v>#REF!</v>
      </c>
      <c r="R137" s="60" t="e">
        <f>#REF!/1000*1.12</f>
        <v>#REF!</v>
      </c>
      <c r="S137" s="60" t="e">
        <f>#REF!/1000*1.12</f>
        <v>#REF!</v>
      </c>
      <c r="T137" s="60" t="e">
        <f>#REF!/1000*1.12</f>
        <v>#REF!</v>
      </c>
      <c r="U137" s="13" t="e">
        <f t="shared" si="31"/>
        <v>#REF!</v>
      </c>
      <c r="V137" s="60"/>
      <c r="W137" s="60"/>
    </row>
    <row r="138" spans="1:23" s="68" customFormat="1" ht="15.75">
      <c r="A138" s="64" t="s">
        <v>217</v>
      </c>
      <c r="B138" s="112" t="s">
        <v>50</v>
      </c>
      <c r="C138" s="65" t="s">
        <v>249</v>
      </c>
      <c r="D138" s="66"/>
      <c r="E138" s="65"/>
      <c r="F138" s="111"/>
      <c r="G138" s="67"/>
      <c r="H138" s="67"/>
      <c r="I138" s="60" t="e">
        <f>#REF!/1000*1.12</f>
        <v>#REF!</v>
      </c>
      <c r="J138" s="60" t="e">
        <f>#REF!/1000*1.12</f>
        <v>#REF!</v>
      </c>
      <c r="K138" s="60" t="e">
        <f>#REF!/1000*1.12</f>
        <v>#REF!</v>
      </c>
      <c r="L138" s="60" t="e">
        <f>#REF!/1000*1.12</f>
        <v>#REF!</v>
      </c>
      <c r="M138" s="60" t="e">
        <f>#REF!/1000*1.12</f>
        <v>#REF!</v>
      </c>
      <c r="N138" s="60" t="e">
        <f>#REF!/1000*1.12</f>
        <v>#REF!</v>
      </c>
      <c r="O138" s="60" t="e">
        <f>#REF!/1000*1.12</f>
        <v>#REF!</v>
      </c>
      <c r="P138" s="60" t="e">
        <f>#REF!/1000*1.12</f>
        <v>#REF!</v>
      </c>
      <c r="Q138" s="60" t="e">
        <f>#REF!/1000*1.12</f>
        <v>#REF!</v>
      </c>
      <c r="R138" s="60" t="e">
        <f>#REF!/1000*1.12</f>
        <v>#REF!</v>
      </c>
      <c r="S138" s="60" t="e">
        <f>#REF!/1000*1.12</f>
        <v>#REF!</v>
      </c>
      <c r="T138" s="60" t="e">
        <f>#REF!/1000*1.12</f>
        <v>#REF!</v>
      </c>
      <c r="U138" s="13" t="e">
        <f t="shared" si="31"/>
        <v>#REF!</v>
      </c>
      <c r="V138" s="60"/>
      <c r="W138" s="60"/>
    </row>
    <row r="139" spans="1:23" ht="15.75">
      <c r="A139" s="36" t="s">
        <v>279</v>
      </c>
      <c r="B139" s="48" t="s">
        <v>352</v>
      </c>
      <c r="C139" s="9" t="s">
        <v>249</v>
      </c>
      <c r="D139" s="45"/>
      <c r="E139" s="19"/>
      <c r="F139" s="8"/>
      <c r="G139" s="13"/>
      <c r="H139" s="13">
        <v>3546.2112</v>
      </c>
      <c r="I139" s="15" t="e">
        <f>'Исполнение тар сметы'!#REF!*1.12</f>
        <v>#REF!</v>
      </c>
      <c r="J139" s="15" t="e">
        <f>'Исполнение тар сметы'!#REF!*1.12</f>
        <v>#REF!</v>
      </c>
      <c r="K139" s="15" t="e">
        <f>'Исполнение тар сметы'!#REF!*1.12</f>
        <v>#REF!</v>
      </c>
      <c r="L139" s="15" t="e">
        <f>'Исполнение тар сметы'!#REF!*1.12</f>
        <v>#REF!</v>
      </c>
      <c r="M139" s="15" t="e">
        <f>'Исполнение тар сметы'!#REF!*1.12</f>
        <v>#REF!</v>
      </c>
      <c r="N139" s="15" t="e">
        <f>'Исполнение тар сметы'!#REF!*1.12</f>
        <v>#REF!</v>
      </c>
      <c r="O139" s="15" t="e">
        <f>'Исполнение тар сметы'!#REF!*1.12</f>
        <v>#REF!</v>
      </c>
      <c r="P139" s="15" t="e">
        <f>'Исполнение тар сметы'!#REF!*1.12</f>
        <v>#REF!</v>
      </c>
      <c r="Q139" s="15" t="e">
        <f>'Исполнение тар сметы'!#REF!*1.12</f>
        <v>#REF!</v>
      </c>
      <c r="R139" s="15" t="e">
        <f>'Исполнение тар сметы'!#REF!*1.12</f>
        <v>#REF!</v>
      </c>
      <c r="S139" s="15" t="e">
        <f>'Исполнение тар сметы'!#REF!*1.12</f>
        <v>#REF!</v>
      </c>
      <c r="T139" s="15" t="e">
        <f>'Исполнение тар сметы'!#REF!*1.12</f>
        <v>#REF!</v>
      </c>
      <c r="U139" s="13" t="e">
        <f aca="true" t="shared" si="32" ref="U139:U153">SUM(I139:T139)</f>
        <v>#REF!</v>
      </c>
      <c r="V139" s="15"/>
      <c r="W139" s="15"/>
    </row>
    <row r="140" spans="1:23" ht="15.75">
      <c r="A140" s="36" t="s">
        <v>330</v>
      </c>
      <c r="B140" s="48" t="s">
        <v>331</v>
      </c>
      <c r="C140" s="9" t="s">
        <v>249</v>
      </c>
      <c r="D140" s="45"/>
      <c r="E140" s="19"/>
      <c r="F140" s="8"/>
      <c r="G140" s="13"/>
      <c r="H140" s="13">
        <v>43.68</v>
      </c>
      <c r="I140" s="15" t="e">
        <f>'Исполнение тар сметы'!#REF!*1.12</f>
        <v>#REF!</v>
      </c>
      <c r="J140" s="15" t="e">
        <f>'Исполнение тар сметы'!#REF!*1.12</f>
        <v>#REF!</v>
      </c>
      <c r="K140" s="15" t="e">
        <f>'Исполнение тар сметы'!#REF!*1.12</f>
        <v>#REF!</v>
      </c>
      <c r="L140" s="15" t="e">
        <f>'Исполнение тар сметы'!#REF!*1.12</f>
        <v>#REF!</v>
      </c>
      <c r="M140" s="15" t="e">
        <f>'Исполнение тар сметы'!#REF!*1.12</f>
        <v>#REF!</v>
      </c>
      <c r="N140" s="15" t="e">
        <f>'Исполнение тар сметы'!#REF!*1.12</f>
        <v>#REF!</v>
      </c>
      <c r="O140" s="15" t="e">
        <f>'Исполнение тар сметы'!#REF!*1.12</f>
        <v>#REF!</v>
      </c>
      <c r="P140" s="15" t="e">
        <f>'Исполнение тар сметы'!#REF!*1.12</f>
        <v>#REF!</v>
      </c>
      <c r="Q140" s="15" t="e">
        <f>'Исполнение тар сметы'!#REF!*1.12</f>
        <v>#REF!</v>
      </c>
      <c r="R140" s="15" t="e">
        <f>'Исполнение тар сметы'!#REF!*1.12</f>
        <v>#REF!</v>
      </c>
      <c r="S140" s="15" t="e">
        <f>'Исполнение тар сметы'!#REF!*1.12</f>
        <v>#REF!</v>
      </c>
      <c r="T140" s="15" t="e">
        <f>'Исполнение тар сметы'!#REF!*1.12</f>
        <v>#REF!</v>
      </c>
      <c r="U140" s="13" t="e">
        <f t="shared" si="32"/>
        <v>#REF!</v>
      </c>
      <c r="V140" s="15"/>
      <c r="W140" s="15"/>
    </row>
    <row r="141" spans="1:23" ht="15.75">
      <c r="A141" s="36" t="s">
        <v>340</v>
      </c>
      <c r="B141" s="70" t="s">
        <v>201</v>
      </c>
      <c r="C141" s="9" t="s">
        <v>249</v>
      </c>
      <c r="D141" s="45"/>
      <c r="E141" s="19"/>
      <c r="F141" s="13"/>
      <c r="G141" s="13"/>
      <c r="H141" s="13"/>
      <c r="I141" s="13" t="e">
        <f>'Исполнение тар сметы'!#REF!*1.12</f>
        <v>#REF!</v>
      </c>
      <c r="J141" s="13" t="e">
        <f>'Исполнение тар сметы'!#REF!*1.12</f>
        <v>#REF!</v>
      </c>
      <c r="K141" s="13" t="e">
        <f>'Исполнение тар сметы'!#REF!*1.12</f>
        <v>#REF!</v>
      </c>
      <c r="L141" s="13" t="e">
        <f>'Исполнение тар сметы'!#REF!*1.12</f>
        <v>#REF!</v>
      </c>
      <c r="M141" s="13" t="e">
        <f>'Исполнение тар сметы'!#REF!*1.12</f>
        <v>#REF!</v>
      </c>
      <c r="N141" s="13" t="e">
        <f>'Исполнение тар сметы'!#REF!*1.12</f>
        <v>#REF!</v>
      </c>
      <c r="O141" s="13" t="e">
        <f>'Исполнение тар сметы'!#REF!*1.12</f>
        <v>#REF!</v>
      </c>
      <c r="P141" s="13" t="e">
        <f>'Исполнение тар сметы'!#REF!*1.12</f>
        <v>#REF!</v>
      </c>
      <c r="Q141" s="13" t="e">
        <f>'Исполнение тар сметы'!#REF!*1.12</f>
        <v>#REF!</v>
      </c>
      <c r="R141" s="13" t="e">
        <f>'Исполнение тар сметы'!#REF!*1.12</f>
        <v>#REF!</v>
      </c>
      <c r="S141" s="13" t="e">
        <f>'Исполнение тар сметы'!#REF!*1.12</f>
        <v>#REF!</v>
      </c>
      <c r="T141" s="13" t="e">
        <f>'Исполнение тар сметы'!#REF!*1.12</f>
        <v>#REF!</v>
      </c>
      <c r="U141" s="13" t="e">
        <f t="shared" si="32"/>
        <v>#REF!</v>
      </c>
      <c r="V141" s="15"/>
      <c r="W141" s="15"/>
    </row>
    <row r="142" spans="1:23" ht="15.75">
      <c r="A142" s="36" t="s">
        <v>344</v>
      </c>
      <c r="B142" s="70" t="s">
        <v>205</v>
      </c>
      <c r="C142" s="9" t="s">
        <v>249</v>
      </c>
      <c r="D142" s="45"/>
      <c r="E142" s="19"/>
      <c r="F142" s="8"/>
      <c r="G142" s="13"/>
      <c r="H142" s="13"/>
      <c r="I142" s="13" t="e">
        <f>'Исполнение тар сметы'!#REF!*1.12</f>
        <v>#REF!</v>
      </c>
      <c r="J142" s="13" t="e">
        <f>'Исполнение тар сметы'!#REF!*1.12</f>
        <v>#REF!</v>
      </c>
      <c r="K142" s="13" t="e">
        <f>'Исполнение тар сметы'!#REF!*1.12</f>
        <v>#REF!</v>
      </c>
      <c r="L142" s="13" t="e">
        <f>'Исполнение тар сметы'!#REF!*1.12</f>
        <v>#REF!</v>
      </c>
      <c r="M142" s="13" t="e">
        <f>'Исполнение тар сметы'!#REF!*1.12</f>
        <v>#REF!</v>
      </c>
      <c r="N142" s="13" t="e">
        <f>'Исполнение тар сметы'!#REF!*1.12</f>
        <v>#REF!</v>
      </c>
      <c r="O142" s="13" t="e">
        <f>'Исполнение тар сметы'!#REF!*1.12</f>
        <v>#REF!</v>
      </c>
      <c r="P142" s="13" t="e">
        <f>'Исполнение тар сметы'!#REF!*1.12</f>
        <v>#REF!</v>
      </c>
      <c r="Q142" s="13" t="e">
        <f>'Исполнение тар сметы'!#REF!*1.12</f>
        <v>#REF!</v>
      </c>
      <c r="R142" s="13" t="e">
        <f>'Исполнение тар сметы'!#REF!*1.12</f>
        <v>#REF!</v>
      </c>
      <c r="S142" s="13" t="e">
        <f>'Исполнение тар сметы'!#REF!*1.12</f>
        <v>#REF!</v>
      </c>
      <c r="T142" s="13" t="e">
        <f>'Исполнение тар сметы'!#REF!*1.12</f>
        <v>#REF!</v>
      </c>
      <c r="U142" s="13" t="e">
        <f t="shared" si="32"/>
        <v>#REF!</v>
      </c>
      <c r="V142" s="15"/>
      <c r="W142" s="15"/>
    </row>
    <row r="143" spans="1:23" ht="31.5">
      <c r="A143" s="36" t="s">
        <v>346</v>
      </c>
      <c r="B143" s="70" t="s">
        <v>320</v>
      </c>
      <c r="C143" s="9" t="s">
        <v>249</v>
      </c>
      <c r="D143" s="45"/>
      <c r="E143" s="19"/>
      <c r="F143" s="8"/>
      <c r="G143" s="13"/>
      <c r="H143" s="13"/>
      <c r="I143" s="13" t="e">
        <f>'Исполнение тар сметы'!#REF!*1.12</f>
        <v>#REF!</v>
      </c>
      <c r="J143" s="13" t="e">
        <f>'Исполнение тар сметы'!#REF!*1.12</f>
        <v>#REF!</v>
      </c>
      <c r="K143" s="13" t="e">
        <f>'Исполнение тар сметы'!#REF!*1.12</f>
        <v>#REF!</v>
      </c>
      <c r="L143" s="13" t="e">
        <f>'Исполнение тар сметы'!#REF!*1.12</f>
        <v>#REF!</v>
      </c>
      <c r="M143" s="13" t="e">
        <f>'Исполнение тар сметы'!#REF!*1.12</f>
        <v>#REF!</v>
      </c>
      <c r="N143" s="13" t="e">
        <f>'Исполнение тар сметы'!#REF!*1.12</f>
        <v>#REF!</v>
      </c>
      <c r="O143" s="13" t="e">
        <f>'Исполнение тар сметы'!#REF!*1.12</f>
        <v>#REF!</v>
      </c>
      <c r="P143" s="13" t="e">
        <f>'Исполнение тар сметы'!#REF!*1.12</f>
        <v>#REF!</v>
      </c>
      <c r="Q143" s="13" t="e">
        <f>'Исполнение тар сметы'!#REF!*1.12</f>
        <v>#REF!</v>
      </c>
      <c r="R143" s="13" t="e">
        <f>'Исполнение тар сметы'!#REF!*1.12</f>
        <v>#REF!</v>
      </c>
      <c r="S143" s="13" t="e">
        <f>'Исполнение тар сметы'!#REF!*1.12</f>
        <v>#REF!</v>
      </c>
      <c r="T143" s="13" t="e">
        <f>'Исполнение тар сметы'!#REF!*1.12</f>
        <v>#REF!</v>
      </c>
      <c r="U143" s="13" t="e">
        <f>SUM(I143:T143)</f>
        <v>#REF!</v>
      </c>
      <c r="V143" s="15"/>
      <c r="W143" s="15"/>
    </row>
    <row r="144" spans="1:23" ht="15.75">
      <c r="A144" s="36" t="s">
        <v>348</v>
      </c>
      <c r="B144" s="70" t="s">
        <v>321</v>
      </c>
      <c r="C144" s="9" t="s">
        <v>249</v>
      </c>
      <c r="D144" s="45"/>
      <c r="E144" s="19"/>
      <c r="F144" s="8"/>
      <c r="G144" s="13"/>
      <c r="H144" s="13"/>
      <c r="I144" s="13" t="e">
        <f>'Исполнение тар сметы'!#REF!*1.12</f>
        <v>#REF!</v>
      </c>
      <c r="J144" s="13" t="e">
        <f>'Исполнение тар сметы'!#REF!*1.12</f>
        <v>#REF!</v>
      </c>
      <c r="K144" s="13" t="e">
        <f>'Исполнение тар сметы'!#REF!*1.12</f>
        <v>#REF!</v>
      </c>
      <c r="L144" s="13" t="e">
        <f>'Исполнение тар сметы'!#REF!*1.12</f>
        <v>#REF!</v>
      </c>
      <c r="M144" s="13" t="e">
        <f>'Исполнение тар сметы'!#REF!*1.12</f>
        <v>#REF!</v>
      </c>
      <c r="N144" s="13" t="e">
        <f>'Исполнение тар сметы'!#REF!*1.12</f>
        <v>#REF!</v>
      </c>
      <c r="O144" s="13" t="e">
        <f>'Исполнение тар сметы'!#REF!*1.12</f>
        <v>#REF!</v>
      </c>
      <c r="P144" s="13" t="e">
        <f>'Исполнение тар сметы'!#REF!*1.12</f>
        <v>#REF!</v>
      </c>
      <c r="Q144" s="13" t="e">
        <f>'Исполнение тар сметы'!#REF!*1.12</f>
        <v>#REF!</v>
      </c>
      <c r="R144" s="13" t="e">
        <f>'Исполнение тар сметы'!#REF!*1.12</f>
        <v>#REF!</v>
      </c>
      <c r="S144" s="13" t="e">
        <f>'Исполнение тар сметы'!#REF!*1.12</f>
        <v>#REF!</v>
      </c>
      <c r="T144" s="13" t="e">
        <f>'Исполнение тар сметы'!#REF!*1.12</f>
        <v>#REF!</v>
      </c>
      <c r="U144" s="13" t="e">
        <f>SUM(I144:T144)</f>
        <v>#REF!</v>
      </c>
      <c r="V144" s="15"/>
      <c r="W144" s="15"/>
    </row>
    <row r="145" spans="1:23" ht="15.75">
      <c r="A145" s="36" t="s">
        <v>245</v>
      </c>
      <c r="B145" s="70" t="s">
        <v>322</v>
      </c>
      <c r="C145" s="9" t="s">
        <v>249</v>
      </c>
      <c r="D145" s="45"/>
      <c r="E145" s="19"/>
      <c r="F145" s="8"/>
      <c r="G145" s="13">
        <v>1240.43</v>
      </c>
      <c r="H145" s="13">
        <v>1240.43</v>
      </c>
      <c r="I145" s="13"/>
      <c r="J145" s="13">
        <f>I145</f>
        <v>0</v>
      </c>
      <c r="K145" s="13" t="e">
        <f>'Исполнение тар сметы'!#REF!*1.12</f>
        <v>#REF!</v>
      </c>
      <c r="L145" s="13" t="e">
        <f>'Исполнение тар сметы'!#REF!*1.12</f>
        <v>#REF!</v>
      </c>
      <c r="M145" s="13" t="e">
        <f>'Исполнение тар сметы'!#REF!*1.12</f>
        <v>#REF!</v>
      </c>
      <c r="N145" s="13" t="e">
        <f>'Исполнение тар сметы'!#REF!*1.12</f>
        <v>#REF!</v>
      </c>
      <c r="O145" s="13" t="e">
        <f>'Исполнение тар сметы'!#REF!*1.12</f>
        <v>#REF!</v>
      </c>
      <c r="P145" s="13" t="e">
        <f>'Исполнение тар сметы'!#REF!*1.12</f>
        <v>#REF!</v>
      </c>
      <c r="Q145" s="13" t="e">
        <f>'Исполнение тар сметы'!#REF!*1.12</f>
        <v>#REF!</v>
      </c>
      <c r="R145" s="13" t="e">
        <f>'Исполнение тар сметы'!#REF!*1.12</f>
        <v>#REF!</v>
      </c>
      <c r="S145" s="13" t="e">
        <f>'Исполнение тар сметы'!#REF!*1.12</f>
        <v>#REF!</v>
      </c>
      <c r="T145" s="13" t="e">
        <f>'Исполнение тар сметы'!#REF!*1.12</f>
        <v>#REF!</v>
      </c>
      <c r="U145" s="13" t="e">
        <f>SUM(I145:T145)</f>
        <v>#REF!</v>
      </c>
      <c r="V145" s="15"/>
      <c r="W145" s="15"/>
    </row>
    <row r="146" spans="1:23" ht="15.75">
      <c r="A146" s="36" t="s">
        <v>246</v>
      </c>
      <c r="B146" s="70" t="s">
        <v>196</v>
      </c>
      <c r="C146" s="9" t="s">
        <v>249</v>
      </c>
      <c r="D146" s="45"/>
      <c r="E146" s="19"/>
      <c r="F146" s="8"/>
      <c r="G146" s="13"/>
      <c r="H146" s="13">
        <v>740</v>
      </c>
      <c r="I146" s="15">
        <v>87</v>
      </c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3">
        <f t="shared" si="32"/>
        <v>87</v>
      </c>
      <c r="V146" s="15"/>
      <c r="W146" s="15"/>
    </row>
    <row r="147" spans="1:23" ht="15.75">
      <c r="A147" s="36" t="s">
        <v>316</v>
      </c>
      <c r="B147" s="70" t="s">
        <v>206</v>
      </c>
      <c r="C147" s="9" t="s">
        <v>249</v>
      </c>
      <c r="D147" s="45"/>
      <c r="E147" s="19"/>
      <c r="F147" s="8"/>
      <c r="G147" s="13"/>
      <c r="H147" s="13">
        <v>11698.590400000001</v>
      </c>
      <c r="I147" s="15"/>
      <c r="J147" s="15" t="e">
        <f>'Исполнение тар сметы'!#REF!*2</f>
        <v>#REF!</v>
      </c>
      <c r="K147" s="15" t="e">
        <f>'Исполнение тар сметы'!#REF!</f>
        <v>#REF!</v>
      </c>
      <c r="L147" s="15" t="e">
        <f>'Исполнение тар сметы'!#REF!</f>
        <v>#REF!</v>
      </c>
      <c r="M147" s="15" t="e">
        <f>'Исполнение тар сметы'!#REF!</f>
        <v>#REF!</v>
      </c>
      <c r="N147" s="15" t="e">
        <f>'Исполнение тар сметы'!#REF!</f>
        <v>#REF!</v>
      </c>
      <c r="O147" s="15" t="e">
        <f>'Исполнение тар сметы'!#REF!</f>
        <v>#REF!</v>
      </c>
      <c r="P147" s="15" t="e">
        <f>'Исполнение тар сметы'!#REF!</f>
        <v>#REF!</v>
      </c>
      <c r="Q147" s="15" t="e">
        <f>'Исполнение тар сметы'!#REF!</f>
        <v>#REF!</v>
      </c>
      <c r="R147" s="15" t="e">
        <f>'Исполнение тар сметы'!#REF!</f>
        <v>#REF!</v>
      </c>
      <c r="S147" s="15" t="e">
        <f>'Исполнение тар сметы'!#REF!</f>
        <v>#REF!</v>
      </c>
      <c r="T147" s="15" t="e">
        <f>'Исполнение тар сметы'!#REF!</f>
        <v>#REF!</v>
      </c>
      <c r="U147" s="13" t="e">
        <f t="shared" si="32"/>
        <v>#REF!</v>
      </c>
      <c r="V147" s="15"/>
      <c r="W147" s="15"/>
    </row>
    <row r="148" spans="1:23" ht="15.75">
      <c r="A148" s="36" t="s">
        <v>247</v>
      </c>
      <c r="B148" s="70" t="s">
        <v>308</v>
      </c>
      <c r="C148" s="9" t="s">
        <v>249</v>
      </c>
      <c r="D148" s="9" t="s">
        <v>249</v>
      </c>
      <c r="E148" s="9" t="s">
        <v>249</v>
      </c>
      <c r="F148" s="8"/>
      <c r="G148" s="13"/>
      <c r="H148" s="13">
        <v>800</v>
      </c>
      <c r="I148" s="15" t="e">
        <f>'Исполнение тар сметы'!#REF!*1.12</f>
        <v>#REF!</v>
      </c>
      <c r="J148" s="15" t="e">
        <f>'Исполнение тар сметы'!#REF!*1.12</f>
        <v>#REF!</v>
      </c>
      <c r="K148" s="15" t="e">
        <f>'Исполнение тар сметы'!#REF!*1.12</f>
        <v>#REF!</v>
      </c>
      <c r="L148" s="15" t="e">
        <f>'Исполнение тар сметы'!#REF!*1.12</f>
        <v>#REF!</v>
      </c>
      <c r="M148" s="15" t="e">
        <f>'Исполнение тар сметы'!#REF!*1.12</f>
        <v>#REF!</v>
      </c>
      <c r="N148" s="15" t="e">
        <f>'Исполнение тар сметы'!#REF!*1.12</f>
        <v>#REF!</v>
      </c>
      <c r="O148" s="15" t="e">
        <f>'Исполнение тар сметы'!#REF!*1.12</f>
        <v>#REF!</v>
      </c>
      <c r="P148" s="15" t="e">
        <f>'Исполнение тар сметы'!#REF!*1.12</f>
        <v>#REF!</v>
      </c>
      <c r="Q148" s="15" t="e">
        <f>'Исполнение тар сметы'!#REF!*1.12</f>
        <v>#REF!</v>
      </c>
      <c r="R148" s="15" t="e">
        <f>'Исполнение тар сметы'!#REF!*1.12</f>
        <v>#REF!</v>
      </c>
      <c r="S148" s="15" t="e">
        <f>'Исполнение тар сметы'!#REF!*1.12</f>
        <v>#REF!</v>
      </c>
      <c r="T148" s="15" t="e">
        <f>'Исполнение тар сметы'!#REF!*1.12</f>
        <v>#REF!</v>
      </c>
      <c r="U148" s="13" t="e">
        <f t="shared" si="32"/>
        <v>#REF!</v>
      </c>
      <c r="V148" s="15"/>
      <c r="W148" s="15"/>
    </row>
    <row r="149" spans="1:23" ht="15.75">
      <c r="A149" s="9" t="s">
        <v>218</v>
      </c>
      <c r="B149" s="18" t="s">
        <v>351</v>
      </c>
      <c r="C149" s="9" t="s">
        <v>249</v>
      </c>
      <c r="D149" s="19"/>
      <c r="E149" s="47"/>
      <c r="F149" s="12"/>
      <c r="G149" s="13"/>
      <c r="H149" s="13">
        <v>3990</v>
      </c>
      <c r="I149" s="13" t="e">
        <f>'Исполнение тар сметы'!#REF!*1.12</f>
        <v>#REF!</v>
      </c>
      <c r="J149" s="13" t="e">
        <f>'Исполнение тар сметы'!#REF!*1.12</f>
        <v>#REF!</v>
      </c>
      <c r="K149" s="13" t="e">
        <f>'Исполнение тар сметы'!#REF!*1.12</f>
        <v>#REF!</v>
      </c>
      <c r="L149" s="13" t="e">
        <f>'Исполнение тар сметы'!#REF!*1.12</f>
        <v>#REF!</v>
      </c>
      <c r="M149" s="13" t="e">
        <f>'Исполнение тар сметы'!#REF!*1.12</f>
        <v>#REF!</v>
      </c>
      <c r="N149" s="13" t="e">
        <f>'Исполнение тар сметы'!#REF!*1.12</f>
        <v>#REF!</v>
      </c>
      <c r="O149" s="13" t="e">
        <f>'Исполнение тар сметы'!#REF!*1.12</f>
        <v>#REF!</v>
      </c>
      <c r="P149" s="13" t="e">
        <f>'Исполнение тар сметы'!#REF!*1.12</f>
        <v>#REF!</v>
      </c>
      <c r="Q149" s="13" t="e">
        <f>'Исполнение тар сметы'!#REF!*1.12</f>
        <v>#REF!</v>
      </c>
      <c r="R149" s="13" t="e">
        <f>'Исполнение тар сметы'!#REF!*1.12</f>
        <v>#REF!</v>
      </c>
      <c r="S149" s="13" t="e">
        <f>'Исполнение тар сметы'!#REF!*1.12</f>
        <v>#REF!</v>
      </c>
      <c r="T149" s="13" t="e">
        <f>'Исполнение тар сметы'!#REF!*1.12</f>
        <v>#REF!</v>
      </c>
      <c r="U149" s="13" t="e">
        <f t="shared" si="32"/>
        <v>#REF!</v>
      </c>
      <c r="V149" s="15"/>
      <c r="W149" s="15"/>
    </row>
    <row r="150" spans="1:23" ht="15.75">
      <c r="A150" s="9" t="s">
        <v>219</v>
      </c>
      <c r="B150" s="18" t="s">
        <v>194</v>
      </c>
      <c r="C150" s="9" t="s">
        <v>249</v>
      </c>
      <c r="D150" s="19"/>
      <c r="E150" s="47"/>
      <c r="F150" s="12"/>
      <c r="G150" s="13"/>
      <c r="H150" s="13"/>
      <c r="I150" s="13">
        <v>300</v>
      </c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>
        <f t="shared" si="32"/>
        <v>300</v>
      </c>
      <c r="V150" s="15"/>
      <c r="W150" s="15"/>
    </row>
    <row r="151" spans="1:23" ht="15.75">
      <c r="A151" s="9" t="s">
        <v>220</v>
      </c>
      <c r="B151" s="18" t="s">
        <v>195</v>
      </c>
      <c r="C151" s="9" t="s">
        <v>249</v>
      </c>
      <c r="D151" s="19"/>
      <c r="E151" s="47"/>
      <c r="F151" s="12"/>
      <c r="G151" s="13">
        <v>342.89</v>
      </c>
      <c r="H151" s="13"/>
      <c r="I151" s="13">
        <v>342.89</v>
      </c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>
        <f t="shared" si="32"/>
        <v>342.89</v>
      </c>
      <c r="V151" s="15"/>
      <c r="W151" s="15"/>
    </row>
    <row r="152" spans="1:23" ht="15.75">
      <c r="A152" s="9" t="s">
        <v>221</v>
      </c>
      <c r="B152" s="18" t="s">
        <v>234</v>
      </c>
      <c r="C152" s="9" t="s">
        <v>249</v>
      </c>
      <c r="D152" s="19"/>
      <c r="E152" s="47"/>
      <c r="F152" s="12"/>
      <c r="G152" s="13">
        <f>2441.6+6854.12+1333.594</f>
        <v>10629.313999999998</v>
      </c>
      <c r="H152" s="13"/>
      <c r="I152" s="13"/>
      <c r="J152" s="13">
        <f>G152</f>
        <v>10629.313999999998</v>
      </c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>
        <f t="shared" si="32"/>
        <v>10629.313999999998</v>
      </c>
      <c r="V152" s="15"/>
      <c r="W152" s="15"/>
    </row>
    <row r="153" spans="1:23" ht="15.75">
      <c r="A153" s="9" t="s">
        <v>222</v>
      </c>
      <c r="B153" s="18" t="s">
        <v>235</v>
      </c>
      <c r="C153" s="9" t="s">
        <v>249</v>
      </c>
      <c r="D153" s="19"/>
      <c r="E153" s="47"/>
      <c r="F153" s="12"/>
      <c r="G153" s="13">
        <v>1285.17</v>
      </c>
      <c r="H153" s="13"/>
      <c r="I153" s="13">
        <v>1285.17</v>
      </c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>
        <f t="shared" si="32"/>
        <v>1285.17</v>
      </c>
      <c r="V153" s="15"/>
      <c r="W153" s="15"/>
    </row>
    <row r="154" spans="1:23" s="34" customFormat="1" ht="15.75">
      <c r="A154" s="9" t="s">
        <v>289</v>
      </c>
      <c r="B154" s="11" t="s">
        <v>353</v>
      </c>
      <c r="C154" s="10" t="s">
        <v>249</v>
      </c>
      <c r="D154" s="6"/>
      <c r="E154" s="49"/>
      <c r="F154" s="12"/>
      <c r="G154" s="17"/>
      <c r="H154" s="17">
        <v>39976.872018099995</v>
      </c>
      <c r="I154" s="14">
        <v>301.33179999999993</v>
      </c>
      <c r="J154" s="14">
        <v>301.33179999999993</v>
      </c>
      <c r="K154" s="14">
        <v>301.33179999999993</v>
      </c>
      <c r="L154" s="14">
        <v>6002.951540208001</v>
      </c>
      <c r="M154" s="14">
        <v>595.1374511040003</v>
      </c>
      <c r="N154" s="14">
        <v>498.08306889600044</v>
      </c>
      <c r="O154" s="14">
        <v>498.08306889600044</v>
      </c>
      <c r="P154" s="14">
        <v>498.08306889600044</v>
      </c>
      <c r="Q154" s="14">
        <v>498.08306889600044</v>
      </c>
      <c r="R154" s="14">
        <v>498.32338415999993</v>
      </c>
      <c r="S154" s="14">
        <v>512.4664479200001</v>
      </c>
      <c r="T154" s="14">
        <v>512.6646294784005</v>
      </c>
      <c r="U154" s="17">
        <f>SUM(I154:T154)</f>
        <v>11017.871128454402</v>
      </c>
      <c r="V154" s="14"/>
      <c r="W154" s="14"/>
    </row>
    <row r="155" spans="1:23" s="34" customFormat="1" ht="15.75" hidden="1">
      <c r="A155" s="9"/>
      <c r="B155" s="11"/>
      <c r="C155" s="6"/>
      <c r="D155" s="6"/>
      <c r="E155" s="49"/>
      <c r="F155" s="12"/>
      <c r="G155" s="17"/>
      <c r="H155" s="17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7"/>
      <c r="V155" s="14"/>
      <c r="W155" s="14"/>
    </row>
    <row r="156" spans="3:23" ht="15.75">
      <c r="C156" s="54"/>
      <c r="E156" s="53"/>
      <c r="F156" s="54"/>
      <c r="G156" s="54"/>
      <c r="H156" s="54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114"/>
      <c r="V156" s="52"/>
      <c r="W156" s="52"/>
    </row>
    <row r="157" spans="3:24" ht="30.75" customHeight="1">
      <c r="C157" s="54"/>
      <c r="E157" s="53"/>
      <c r="F157" s="246" t="s">
        <v>354</v>
      </c>
      <c r="G157" s="246"/>
      <c r="H157" s="246"/>
      <c r="I157" s="246"/>
      <c r="J157" s="83"/>
      <c r="K157" s="83"/>
      <c r="L157" s="83"/>
      <c r="M157" s="246" t="s">
        <v>288</v>
      </c>
      <c r="N157" s="246"/>
      <c r="O157" s="246"/>
      <c r="P157" s="83"/>
      <c r="Q157" s="83"/>
      <c r="R157" s="83"/>
      <c r="S157" s="83"/>
      <c r="T157" s="83"/>
      <c r="U157" s="114"/>
      <c r="V157" s="52"/>
      <c r="W157" s="52"/>
      <c r="X157" s="5"/>
    </row>
    <row r="158" spans="3:23" ht="15.75">
      <c r="C158" s="86"/>
      <c r="E158" s="53"/>
      <c r="F158" s="54"/>
      <c r="G158" s="54"/>
      <c r="H158" s="54"/>
      <c r="I158" s="54"/>
      <c r="J158" s="54"/>
      <c r="K158" s="54"/>
      <c r="L158" s="51"/>
      <c r="M158" s="51"/>
      <c r="N158" s="51"/>
      <c r="O158" s="50"/>
      <c r="P158" s="50"/>
      <c r="Q158" s="50"/>
      <c r="R158" s="50"/>
      <c r="S158" s="50"/>
      <c r="T158" s="50"/>
      <c r="U158" s="50"/>
      <c r="V158" s="52"/>
      <c r="W158" s="52"/>
    </row>
    <row r="159" spans="2:23" ht="15.75">
      <c r="B159" s="58"/>
      <c r="E159" s="53"/>
      <c r="F159" s="54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2"/>
      <c r="W159" s="52"/>
    </row>
    <row r="160" spans="2:23" s="34" customFormat="1" ht="15.75">
      <c r="B160" s="73"/>
      <c r="C160" s="72"/>
      <c r="D160" s="72"/>
      <c r="E160" s="35"/>
      <c r="F160" s="72"/>
      <c r="G160" s="72"/>
      <c r="H160" s="72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</row>
    <row r="161" ht="15.75">
      <c r="E161" s="53"/>
    </row>
    <row r="162" spans="5:21" ht="15.75">
      <c r="E162" s="53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5:20" ht="15.75">
      <c r="E163" s="53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</row>
    <row r="164" spans="5:20" ht="15.75">
      <c r="E164" s="53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</row>
    <row r="166" ht="15.75">
      <c r="I166" s="5"/>
    </row>
    <row r="172" spans="2:3" ht="15.75">
      <c r="B172" s="2"/>
      <c r="C172" s="2"/>
    </row>
    <row r="173" spans="2:3" ht="15.75">
      <c r="B173" s="2"/>
      <c r="C173" s="2"/>
    </row>
    <row r="181" spans="7:20" ht="15.75"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  <c r="R181" s="50"/>
      <c r="S181" s="239"/>
      <c r="T181" s="239"/>
    </row>
    <row r="182" spans="2:8" ht="15.75">
      <c r="B182" s="58"/>
      <c r="C182" s="54"/>
      <c r="F182" s="54"/>
      <c r="G182" s="54"/>
      <c r="H182" s="54"/>
    </row>
    <row r="183" spans="2:8" ht="15.75">
      <c r="B183" s="58"/>
      <c r="C183" s="54"/>
      <c r="G183" s="54"/>
      <c r="H183" s="54"/>
    </row>
    <row r="184" spans="2:8" ht="15.75">
      <c r="B184" s="58"/>
      <c r="C184" s="58"/>
      <c r="F184" s="54"/>
      <c r="G184" s="54"/>
      <c r="H184" s="54"/>
    </row>
    <row r="185" spans="6:8" ht="15.75">
      <c r="F185" s="54"/>
      <c r="G185" s="54"/>
      <c r="H185" s="54"/>
    </row>
  </sheetData>
  <sheetProtection/>
  <mergeCells count="9">
    <mergeCell ref="S181:T181"/>
    <mergeCell ref="G181:Q181"/>
    <mergeCell ref="A6:W6"/>
    <mergeCell ref="U1:W1"/>
    <mergeCell ref="U2:W2"/>
    <mergeCell ref="U3:W3"/>
    <mergeCell ref="A5:W5"/>
    <mergeCell ref="F157:I157"/>
    <mergeCell ref="M157:O157"/>
  </mergeCells>
  <printOptions horizontalCentered="1"/>
  <pageMargins left="0.15748031496062992" right="0.15748031496062992" top="0.15748031496062992" bottom="0.2362204724409449" header="0.31496062992125984" footer="0.15748031496062992"/>
  <pageSetup fitToHeight="4" fitToWidth="1" horizontalDpi="600" verticalDpi="6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1"/>
  <sheetViews>
    <sheetView showZeros="0" tabSelected="1" zoomScale="75" zoomScaleNormal="75" zoomScalePageLayoutView="0" workbookViewId="0" topLeftCell="A1">
      <pane xSplit="2" ySplit="3" topLeftCell="C10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G172" sqref="AG172"/>
    </sheetView>
  </sheetViews>
  <sheetFormatPr defaultColWidth="7.125" defaultRowHeight="12.75"/>
  <cols>
    <col min="1" max="1" width="7.375" style="191" bestFit="1" customWidth="1"/>
    <col min="2" max="2" width="67.125" style="153" bestFit="1" customWidth="1"/>
    <col min="3" max="3" width="14.125" style="153" bestFit="1" customWidth="1"/>
    <col min="4" max="4" width="14.00390625" style="152" hidden="1" customWidth="1"/>
    <col min="5" max="5" width="14.00390625" style="155" hidden="1" customWidth="1"/>
    <col min="6" max="19" width="14.00390625" style="152" hidden="1" customWidth="1"/>
    <col min="20" max="20" width="17.25390625" style="152" hidden="1" customWidth="1"/>
    <col min="21" max="21" width="14.00390625" style="212" hidden="1" customWidth="1"/>
    <col min="22" max="31" width="14.00390625" style="152" hidden="1" customWidth="1"/>
    <col min="32" max="32" width="16.25390625" style="155" customWidth="1"/>
    <col min="33" max="33" width="15.25390625" style="155" customWidth="1"/>
    <col min="34" max="34" width="12.875" style="154" customWidth="1"/>
    <col min="35" max="35" width="32.00390625" style="155" customWidth="1"/>
    <col min="36" max="36" width="1.00390625" style="155" customWidth="1"/>
    <col min="37" max="42" width="0" style="155" hidden="1" customWidth="1"/>
    <col min="43" max="16384" width="7.125" style="155" customWidth="1"/>
  </cols>
  <sheetData>
    <row r="1" spans="1:35" ht="14.25" customHeight="1">
      <c r="A1" s="261" t="s">
        <v>416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</row>
    <row r="2" spans="1:35" s="156" customFormat="1" ht="15" customHeight="1">
      <c r="A2" s="262" t="s">
        <v>417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</row>
    <row r="3" spans="1:35" s="156" customFormat="1" ht="15" customHeight="1">
      <c r="A3" s="262" t="s">
        <v>418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</row>
    <row r="4" spans="1:35" s="156" customFormat="1" ht="15" customHeight="1">
      <c r="A4" s="262" t="s">
        <v>419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</row>
    <row r="5" spans="1:35" ht="15" customHeight="1">
      <c r="A5" s="247" t="s">
        <v>232</v>
      </c>
      <c r="B5" s="249" t="s">
        <v>306</v>
      </c>
      <c r="C5" s="249" t="s">
        <v>299</v>
      </c>
      <c r="D5" s="157"/>
      <c r="E5" s="157"/>
      <c r="F5" s="249" t="s">
        <v>256</v>
      </c>
      <c r="G5" s="249"/>
      <c r="H5" s="249"/>
      <c r="I5" s="253" t="s">
        <v>257</v>
      </c>
      <c r="J5" s="254"/>
      <c r="K5" s="255"/>
      <c r="L5" s="250" t="s">
        <v>409</v>
      </c>
      <c r="M5" s="251"/>
      <c r="N5" s="252"/>
      <c r="O5" s="253" t="s">
        <v>258</v>
      </c>
      <c r="P5" s="255"/>
      <c r="Q5" s="250" t="s">
        <v>411</v>
      </c>
      <c r="R5" s="251"/>
      <c r="S5" s="252"/>
      <c r="T5" s="249" t="s">
        <v>259</v>
      </c>
      <c r="U5" s="249"/>
      <c r="V5" s="249" t="s">
        <v>413</v>
      </c>
      <c r="W5" s="249"/>
      <c r="X5" s="249"/>
      <c r="Y5" s="253" t="s">
        <v>223</v>
      </c>
      <c r="Z5" s="254"/>
      <c r="AA5" s="255"/>
      <c r="AB5" s="250" t="s">
        <v>415</v>
      </c>
      <c r="AC5" s="251"/>
      <c r="AD5" s="252"/>
      <c r="AE5" s="249" t="s">
        <v>224</v>
      </c>
      <c r="AF5" s="249" t="s">
        <v>420</v>
      </c>
      <c r="AG5" s="249" t="s">
        <v>421</v>
      </c>
      <c r="AH5" s="249" t="s">
        <v>422</v>
      </c>
      <c r="AI5" s="249" t="s">
        <v>423</v>
      </c>
    </row>
    <row r="6" spans="1:35" s="156" customFormat="1" ht="96" customHeight="1">
      <c r="A6" s="247"/>
      <c r="B6" s="249"/>
      <c r="C6" s="249"/>
      <c r="D6" s="158" t="s">
        <v>78</v>
      </c>
      <c r="E6" s="197" t="s">
        <v>79</v>
      </c>
      <c r="F6" s="197" t="s">
        <v>406</v>
      </c>
      <c r="G6" s="197" t="s">
        <v>407</v>
      </c>
      <c r="H6" s="197" t="s">
        <v>376</v>
      </c>
      <c r="I6" s="197" t="s">
        <v>406</v>
      </c>
      <c r="J6" s="197" t="s">
        <v>407</v>
      </c>
      <c r="K6" s="197" t="s">
        <v>376</v>
      </c>
      <c r="L6" s="197" t="s">
        <v>406</v>
      </c>
      <c r="M6" s="197" t="s">
        <v>407</v>
      </c>
      <c r="N6" s="197" t="s">
        <v>376</v>
      </c>
      <c r="O6" s="197" t="s">
        <v>406</v>
      </c>
      <c r="P6" s="197" t="s">
        <v>407</v>
      </c>
      <c r="Q6" s="197" t="s">
        <v>406</v>
      </c>
      <c r="R6" s="197" t="s">
        <v>407</v>
      </c>
      <c r="S6" s="197" t="s">
        <v>376</v>
      </c>
      <c r="T6" s="197" t="s">
        <v>406</v>
      </c>
      <c r="U6" s="200" t="s">
        <v>407</v>
      </c>
      <c r="V6" s="197" t="s">
        <v>406</v>
      </c>
      <c r="W6" s="197" t="s">
        <v>407</v>
      </c>
      <c r="X6" s="197" t="s">
        <v>376</v>
      </c>
      <c r="Y6" s="199" t="s">
        <v>406</v>
      </c>
      <c r="Z6" s="199" t="s">
        <v>407</v>
      </c>
      <c r="AA6" s="199" t="s">
        <v>376</v>
      </c>
      <c r="AB6" s="199" t="s">
        <v>406</v>
      </c>
      <c r="AC6" s="199" t="s">
        <v>407</v>
      </c>
      <c r="AD6" s="199" t="s">
        <v>376</v>
      </c>
      <c r="AE6" s="249"/>
      <c r="AF6" s="249"/>
      <c r="AG6" s="249"/>
      <c r="AH6" s="249"/>
      <c r="AI6" s="249"/>
    </row>
    <row r="7" spans="1:35" s="156" customFormat="1" ht="15.75">
      <c r="A7" s="170"/>
      <c r="B7" s="215">
        <v>1</v>
      </c>
      <c r="C7" s="215">
        <v>2</v>
      </c>
      <c r="D7" s="216"/>
      <c r="E7" s="217"/>
      <c r="F7" s="218"/>
      <c r="G7" s="218"/>
      <c r="H7" s="218">
        <f aca="true" t="shared" si="0" ref="H7:H63">G7-F7</f>
        <v>0</v>
      </c>
      <c r="I7" s="218"/>
      <c r="J7" s="218"/>
      <c r="K7" s="218">
        <f aca="true" t="shared" si="1" ref="K7:K67">J7-I7</f>
        <v>0</v>
      </c>
      <c r="L7" s="218">
        <f aca="true" t="shared" si="2" ref="L7:L63">F7+I7</f>
        <v>0</v>
      </c>
      <c r="M7" s="218">
        <f aca="true" t="shared" si="3" ref="M7:M63">G7+J7</f>
        <v>0</v>
      </c>
      <c r="N7" s="218">
        <f aca="true" t="shared" si="4" ref="N7:N63">M7-L7</f>
        <v>0</v>
      </c>
      <c r="O7" s="218"/>
      <c r="P7" s="218"/>
      <c r="Q7" s="218">
        <f aca="true" t="shared" si="5" ref="Q7:Q16">L7+O7</f>
        <v>0</v>
      </c>
      <c r="R7" s="218">
        <f aca="true" t="shared" si="6" ref="R7:R16">M7+P7</f>
        <v>0</v>
      </c>
      <c r="S7" s="218">
        <f aca="true" t="shared" si="7" ref="S7:S13">R7-Q7</f>
        <v>0</v>
      </c>
      <c r="T7" s="218"/>
      <c r="U7" s="219"/>
      <c r="V7" s="218">
        <f>Q7+T7</f>
        <v>0</v>
      </c>
      <c r="W7" s="218">
        <f aca="true" t="shared" si="8" ref="W7:W66">R7+U7</f>
        <v>0</v>
      </c>
      <c r="X7" s="218">
        <f aca="true" t="shared" si="9" ref="X7:X66">W7-V7</f>
        <v>0</v>
      </c>
      <c r="Y7" s="218"/>
      <c r="Z7" s="218"/>
      <c r="AA7" s="218"/>
      <c r="AB7" s="218">
        <f aca="true" t="shared" si="10" ref="AB7:AB68">V7+Y7</f>
        <v>0</v>
      </c>
      <c r="AC7" s="218">
        <f aca="true" t="shared" si="11" ref="AC7:AC68">W7+Z7</f>
        <v>0</v>
      </c>
      <c r="AD7" s="218">
        <f aca="true" t="shared" si="12" ref="AD7:AD68">AC7-AB7</f>
        <v>0</v>
      </c>
      <c r="AE7" s="220"/>
      <c r="AF7" s="218">
        <v>3</v>
      </c>
      <c r="AG7" s="218">
        <v>4</v>
      </c>
      <c r="AH7" s="221">
        <v>5</v>
      </c>
      <c r="AI7" s="218">
        <v>6</v>
      </c>
    </row>
    <row r="8" spans="1:35" s="154" customFormat="1" ht="31.5">
      <c r="A8" s="171" t="s">
        <v>399</v>
      </c>
      <c r="B8" s="172" t="s">
        <v>81</v>
      </c>
      <c r="C8" s="160" t="s">
        <v>249</v>
      </c>
      <c r="D8" s="173">
        <f aca="true" t="shared" si="13" ref="D8:K8">D9+D17+D23+D24+D40+D46+D21</f>
        <v>2232441.2434142735</v>
      </c>
      <c r="E8" s="173">
        <f t="shared" si="13"/>
        <v>2465347.4408183997</v>
      </c>
      <c r="F8" s="173" t="e">
        <f t="shared" si="13"/>
        <v>#REF!</v>
      </c>
      <c r="G8" s="173" t="e">
        <f t="shared" si="13"/>
        <v>#REF!</v>
      </c>
      <c r="H8" s="173" t="e">
        <f t="shared" si="13"/>
        <v>#REF!</v>
      </c>
      <c r="I8" s="173" t="e">
        <f t="shared" si="13"/>
        <v>#REF!</v>
      </c>
      <c r="J8" s="173" t="e">
        <f t="shared" si="13"/>
        <v>#REF!</v>
      </c>
      <c r="K8" s="173" t="e">
        <f t="shared" si="13"/>
        <v>#REF!</v>
      </c>
      <c r="L8" s="162" t="e">
        <f t="shared" si="2"/>
        <v>#REF!</v>
      </c>
      <c r="M8" s="162" t="e">
        <f t="shared" si="3"/>
        <v>#REF!</v>
      </c>
      <c r="N8" s="162" t="e">
        <f t="shared" si="4"/>
        <v>#REF!</v>
      </c>
      <c r="O8" s="173" t="e">
        <f>O9+O17+O23+O24+O40+O46+O21</f>
        <v>#REF!</v>
      </c>
      <c r="P8" s="173" t="e">
        <f>P9+P17+P23+P24+P40+P46+P21</f>
        <v>#REF!</v>
      </c>
      <c r="Q8" s="162" t="e">
        <f t="shared" si="5"/>
        <v>#REF!</v>
      </c>
      <c r="R8" s="162" t="e">
        <f t="shared" si="6"/>
        <v>#REF!</v>
      </c>
      <c r="S8" s="162" t="e">
        <f t="shared" si="7"/>
        <v>#REF!</v>
      </c>
      <c r="T8" s="173" t="e">
        <f aca="true" t="shared" si="14" ref="T8:AF8">T9+T17+T23+T24+T40+T46+T21</f>
        <v>#REF!</v>
      </c>
      <c r="U8" s="206" t="e">
        <f t="shared" si="14"/>
        <v>#REF!</v>
      </c>
      <c r="V8" s="173" t="e">
        <f t="shared" si="14"/>
        <v>#REF!</v>
      </c>
      <c r="W8" s="173" t="e">
        <f t="shared" si="14"/>
        <v>#REF!</v>
      </c>
      <c r="X8" s="173" t="e">
        <f t="shared" si="14"/>
        <v>#REF!</v>
      </c>
      <c r="Y8" s="173" t="e">
        <f t="shared" si="14"/>
        <v>#REF!</v>
      </c>
      <c r="Z8" s="173" t="e">
        <f t="shared" si="14"/>
        <v>#REF!</v>
      </c>
      <c r="AA8" s="173" t="e">
        <f t="shared" si="14"/>
        <v>#REF!</v>
      </c>
      <c r="AB8" s="173" t="e">
        <f t="shared" si="14"/>
        <v>#REF!</v>
      </c>
      <c r="AC8" s="173" t="e">
        <f t="shared" si="14"/>
        <v>#REF!</v>
      </c>
      <c r="AD8" s="173" t="e">
        <f t="shared" si="14"/>
        <v>#REF!</v>
      </c>
      <c r="AE8" s="203" t="e">
        <f t="shared" si="14"/>
        <v>#REF!</v>
      </c>
      <c r="AF8" s="173">
        <f t="shared" si="14"/>
        <v>2465347.4408183997</v>
      </c>
      <c r="AG8" s="173">
        <v>2571824.297132173</v>
      </c>
      <c r="AH8" s="164">
        <f>AG8/AF8*100</f>
        <v>104.31893917063582</v>
      </c>
      <c r="AI8" s="169"/>
    </row>
    <row r="9" spans="1:35" s="154" customFormat="1" ht="15.75">
      <c r="A9" s="171" t="s">
        <v>393</v>
      </c>
      <c r="B9" s="174" t="s">
        <v>82</v>
      </c>
      <c r="C9" s="160" t="s">
        <v>249</v>
      </c>
      <c r="D9" s="161">
        <f aca="true" t="shared" si="15" ref="D9:K9">D10+D12+D15+D16</f>
        <v>667811.19</v>
      </c>
      <c r="E9" s="161">
        <f t="shared" si="15"/>
        <v>684746.4924</v>
      </c>
      <c r="F9" s="161" t="e">
        <f t="shared" si="15"/>
        <v>#REF!</v>
      </c>
      <c r="G9" s="161">
        <f t="shared" si="15"/>
        <v>61955.485</v>
      </c>
      <c r="H9" s="161" t="e">
        <f t="shared" si="15"/>
        <v>#REF!</v>
      </c>
      <c r="I9" s="161">
        <f t="shared" si="15"/>
        <v>63486.96905262463</v>
      </c>
      <c r="J9" s="161">
        <f t="shared" si="15"/>
        <v>59331.498999999996</v>
      </c>
      <c r="K9" s="161">
        <f t="shared" si="15"/>
        <v>-4155.470052624627</v>
      </c>
      <c r="L9" s="162" t="e">
        <f t="shared" si="2"/>
        <v>#REF!</v>
      </c>
      <c r="M9" s="162">
        <f t="shared" si="3"/>
        <v>121286.984</v>
      </c>
      <c r="N9" s="162" t="e">
        <f t="shared" si="4"/>
        <v>#REF!</v>
      </c>
      <c r="O9" s="161">
        <f>O10+O12+O15+O16</f>
        <v>67878.52514313243</v>
      </c>
      <c r="P9" s="161">
        <f>P10+P12+P15+P16</f>
        <v>59335.488</v>
      </c>
      <c r="Q9" s="162" t="e">
        <f t="shared" si="5"/>
        <v>#REF!</v>
      </c>
      <c r="R9" s="162">
        <f t="shared" si="6"/>
        <v>180622.472</v>
      </c>
      <c r="S9" s="162" t="e">
        <f t="shared" si="7"/>
        <v>#REF!</v>
      </c>
      <c r="T9" s="161">
        <f aca="true" t="shared" si="16" ref="T9:AA9">T10+T12+T15+T16</f>
        <v>45631.167654586876</v>
      </c>
      <c r="U9" s="204">
        <f t="shared" si="16"/>
        <v>42609.098</v>
      </c>
      <c r="V9" s="161">
        <f t="shared" si="16"/>
        <v>220909.36</v>
      </c>
      <c r="W9" s="161">
        <f t="shared" si="16"/>
        <v>223231.57</v>
      </c>
      <c r="X9" s="161">
        <f t="shared" si="16"/>
        <v>2322.210000000004</v>
      </c>
      <c r="Y9" s="161">
        <f t="shared" si="16"/>
        <v>36813.58</v>
      </c>
      <c r="Z9" s="161">
        <f t="shared" si="16"/>
        <v>29512.079</v>
      </c>
      <c r="AA9" s="161">
        <f t="shared" si="16"/>
        <v>0</v>
      </c>
      <c r="AB9" s="162">
        <f t="shared" si="10"/>
        <v>257722.94</v>
      </c>
      <c r="AC9" s="162">
        <f t="shared" si="11"/>
        <v>252743.649</v>
      </c>
      <c r="AD9" s="162">
        <f t="shared" si="12"/>
        <v>-4979.290999999997</v>
      </c>
      <c r="AE9" s="161">
        <f>AE10+AE12+AE15+AE16</f>
        <v>34637.219574173214</v>
      </c>
      <c r="AF9" s="161">
        <f>AF10+AF12+AF15+AF16</f>
        <v>684746.4924</v>
      </c>
      <c r="AG9" s="161">
        <v>287380.8685741732</v>
      </c>
      <c r="AH9" s="164">
        <f aca="true" t="shared" si="17" ref="AH9:AH71">AG9/AF9*100</f>
        <v>41.96894350884786</v>
      </c>
      <c r="AI9" s="256" t="s">
        <v>425</v>
      </c>
    </row>
    <row r="10" spans="1:35" ht="15.75">
      <c r="A10" s="198" t="s">
        <v>300</v>
      </c>
      <c r="B10" s="175" t="s">
        <v>355</v>
      </c>
      <c r="C10" s="176" t="s">
        <v>249</v>
      </c>
      <c r="D10" s="162">
        <v>57673.29</v>
      </c>
      <c r="E10" s="158">
        <v>61133.68</v>
      </c>
      <c r="F10" s="162" t="e">
        <f>'[2]Материалы'!B16</f>
        <v>#REF!</v>
      </c>
      <c r="G10" s="162">
        <v>665.922</v>
      </c>
      <c r="H10" s="162" t="e">
        <f t="shared" si="0"/>
        <v>#REF!</v>
      </c>
      <c r="I10" s="162">
        <f>'[2]Материалы'!C16</f>
        <v>2910.9330410000002</v>
      </c>
      <c r="J10" s="162">
        <v>749.656</v>
      </c>
      <c r="K10" s="162">
        <f t="shared" si="1"/>
        <v>-2161.2770410000003</v>
      </c>
      <c r="L10" s="162" t="e">
        <f t="shared" si="2"/>
        <v>#REF!</v>
      </c>
      <c r="M10" s="162">
        <f t="shared" si="3"/>
        <v>1415.578</v>
      </c>
      <c r="N10" s="162" t="e">
        <f t="shared" si="4"/>
        <v>#REF!</v>
      </c>
      <c r="O10" s="162">
        <f>'[2]Материалы'!D16</f>
        <v>6526.543130999999</v>
      </c>
      <c r="P10" s="162">
        <v>1638.45</v>
      </c>
      <c r="Q10" s="162" t="e">
        <f t="shared" si="5"/>
        <v>#REF!</v>
      </c>
      <c r="R10" s="162">
        <f t="shared" si="6"/>
        <v>3054.0280000000002</v>
      </c>
      <c r="S10" s="162" t="e">
        <f t="shared" si="7"/>
        <v>#REF!</v>
      </c>
      <c r="T10" s="162">
        <f>'[2]Материалы'!E16</f>
        <v>6545.859431</v>
      </c>
      <c r="U10" s="205">
        <v>2869.432</v>
      </c>
      <c r="V10" s="162">
        <v>3620.27</v>
      </c>
      <c r="W10" s="162">
        <f t="shared" si="8"/>
        <v>5923.46</v>
      </c>
      <c r="X10" s="162">
        <f t="shared" si="9"/>
        <v>2303.19</v>
      </c>
      <c r="Y10" s="162">
        <v>6319.85</v>
      </c>
      <c r="Z10" s="162">
        <v>3357.666</v>
      </c>
      <c r="AA10" s="162"/>
      <c r="AB10" s="162">
        <f t="shared" si="10"/>
        <v>9940.12</v>
      </c>
      <c r="AC10" s="162">
        <f t="shared" si="11"/>
        <v>9281.126</v>
      </c>
      <c r="AD10" s="162">
        <f t="shared" si="12"/>
        <v>-658.9940000000006</v>
      </c>
      <c r="AE10" s="162">
        <v>5447.63</v>
      </c>
      <c r="AF10" s="158">
        <v>61133.68</v>
      </c>
      <c r="AG10" s="158">
        <v>14728.756000000001</v>
      </c>
      <c r="AH10" s="167">
        <f t="shared" si="17"/>
        <v>24.092703073003296</v>
      </c>
      <c r="AI10" s="257"/>
    </row>
    <row r="11" spans="1:35" ht="15" customHeight="1" hidden="1">
      <c r="A11" s="198" t="s">
        <v>318</v>
      </c>
      <c r="B11" s="175" t="s">
        <v>83</v>
      </c>
      <c r="C11" s="176"/>
      <c r="D11" s="162"/>
      <c r="E11" s="158"/>
      <c r="F11" s="162"/>
      <c r="G11" s="162"/>
      <c r="H11" s="162">
        <f t="shared" si="0"/>
        <v>0</v>
      </c>
      <c r="I11" s="162"/>
      <c r="J11" s="162"/>
      <c r="K11" s="162">
        <f t="shared" si="1"/>
        <v>0</v>
      </c>
      <c r="L11" s="162">
        <f t="shared" si="2"/>
        <v>0</v>
      </c>
      <c r="M11" s="162">
        <f t="shared" si="3"/>
        <v>0</v>
      </c>
      <c r="N11" s="162">
        <f t="shared" si="4"/>
        <v>0</v>
      </c>
      <c r="O11" s="162"/>
      <c r="P11" s="162"/>
      <c r="Q11" s="162">
        <f t="shared" si="5"/>
        <v>0</v>
      </c>
      <c r="R11" s="162">
        <f t="shared" si="6"/>
        <v>0</v>
      </c>
      <c r="S11" s="162">
        <f t="shared" si="7"/>
        <v>0</v>
      </c>
      <c r="T11" s="162"/>
      <c r="U11" s="205"/>
      <c r="V11" s="162">
        <f>Q11+T11</f>
        <v>0</v>
      </c>
      <c r="W11" s="162">
        <f t="shared" si="8"/>
        <v>0</v>
      </c>
      <c r="X11" s="162">
        <f t="shared" si="9"/>
        <v>0</v>
      </c>
      <c r="Y11" s="162"/>
      <c r="Z11" s="162"/>
      <c r="AA11" s="162"/>
      <c r="AB11" s="162">
        <f t="shared" si="10"/>
        <v>0</v>
      </c>
      <c r="AC11" s="162">
        <f t="shared" si="11"/>
        <v>0</v>
      </c>
      <c r="AD11" s="162">
        <f t="shared" si="12"/>
        <v>0</v>
      </c>
      <c r="AE11" s="162"/>
      <c r="AF11" s="158"/>
      <c r="AG11" s="158">
        <v>0</v>
      </c>
      <c r="AH11" s="167" t="e">
        <f t="shared" si="17"/>
        <v>#DIV/0!</v>
      </c>
      <c r="AI11" s="257"/>
    </row>
    <row r="12" spans="1:35" ht="15.75">
      <c r="A12" s="198" t="s">
        <v>7</v>
      </c>
      <c r="B12" s="175" t="s">
        <v>8</v>
      </c>
      <c r="C12" s="176" t="s">
        <v>249</v>
      </c>
      <c r="D12" s="162">
        <v>52810.04</v>
      </c>
      <c r="E12" s="158">
        <v>55978.642400000004</v>
      </c>
      <c r="F12" s="162">
        <f>'[2]ГСМ'!C35/1000</f>
        <v>2618.7106803</v>
      </c>
      <c r="G12" s="162">
        <v>2025.52</v>
      </c>
      <c r="H12" s="162">
        <f t="shared" si="0"/>
        <v>-593.1906803000002</v>
      </c>
      <c r="I12" s="162">
        <f>'[2]ГСМ'!D35/1000</f>
        <v>2824.7984688000006</v>
      </c>
      <c r="J12" s="162">
        <v>3334.438</v>
      </c>
      <c r="K12" s="162">
        <f t="shared" si="1"/>
        <v>509.6395311999995</v>
      </c>
      <c r="L12" s="162">
        <f t="shared" si="2"/>
        <v>5443.5091491</v>
      </c>
      <c r="M12" s="162">
        <f t="shared" si="3"/>
        <v>5359.9580000000005</v>
      </c>
      <c r="N12" s="162">
        <f t="shared" si="4"/>
        <v>-83.55114909999975</v>
      </c>
      <c r="O12" s="162">
        <f>'[2]ГСМ'!E35/1000</f>
        <v>3365.21142496</v>
      </c>
      <c r="P12" s="162">
        <v>2694.084</v>
      </c>
      <c r="Q12" s="162">
        <f t="shared" si="5"/>
        <v>8808.72057406</v>
      </c>
      <c r="R12" s="162">
        <f t="shared" si="6"/>
        <v>8054.042</v>
      </c>
      <c r="S12" s="162">
        <f t="shared" si="7"/>
        <v>-754.6785740599998</v>
      </c>
      <c r="T12" s="162">
        <f>'[2]ГСМ'!F35/1000</f>
        <v>3767.837423240001</v>
      </c>
      <c r="U12" s="205">
        <v>3967.496</v>
      </c>
      <c r="V12" s="162">
        <v>12002.52</v>
      </c>
      <c r="W12" s="162">
        <f t="shared" si="8"/>
        <v>12021.538</v>
      </c>
      <c r="X12" s="162">
        <f t="shared" si="9"/>
        <v>19.01800000000003</v>
      </c>
      <c r="Y12" s="162">
        <v>3536.8</v>
      </c>
      <c r="Z12" s="162">
        <v>3660.172</v>
      </c>
      <c r="AA12" s="162"/>
      <c r="AB12" s="162">
        <f t="shared" si="10"/>
        <v>15539.32</v>
      </c>
      <c r="AC12" s="162">
        <f t="shared" si="11"/>
        <v>15681.710000000001</v>
      </c>
      <c r="AD12" s="162">
        <f t="shared" si="12"/>
        <v>142.39000000000124</v>
      </c>
      <c r="AE12" s="162">
        <v>3354.93</v>
      </c>
      <c r="AF12" s="158">
        <v>55978.642400000004</v>
      </c>
      <c r="AG12" s="158">
        <v>19036.64</v>
      </c>
      <c r="AH12" s="167">
        <f t="shared" si="17"/>
        <v>34.00696977245736</v>
      </c>
      <c r="AI12" s="257"/>
    </row>
    <row r="13" spans="1:35" ht="15" customHeight="1" hidden="1">
      <c r="A13" s="198" t="s">
        <v>84</v>
      </c>
      <c r="B13" s="175" t="s">
        <v>85</v>
      </c>
      <c r="C13" s="176"/>
      <c r="D13" s="162"/>
      <c r="E13" s="158"/>
      <c r="F13" s="162"/>
      <c r="G13" s="162"/>
      <c r="H13" s="162">
        <f t="shared" si="0"/>
        <v>0</v>
      </c>
      <c r="I13" s="162"/>
      <c r="J13" s="162">
        <v>3334.438</v>
      </c>
      <c r="K13" s="162">
        <f t="shared" si="1"/>
        <v>3334.438</v>
      </c>
      <c r="L13" s="162">
        <f t="shared" si="2"/>
        <v>0</v>
      </c>
      <c r="M13" s="162">
        <f t="shared" si="3"/>
        <v>3334.438</v>
      </c>
      <c r="N13" s="162">
        <f t="shared" si="4"/>
        <v>3334.438</v>
      </c>
      <c r="O13" s="162"/>
      <c r="P13" s="162"/>
      <c r="Q13" s="162">
        <f t="shared" si="5"/>
        <v>0</v>
      </c>
      <c r="R13" s="162">
        <f t="shared" si="6"/>
        <v>3334.438</v>
      </c>
      <c r="S13" s="162">
        <f t="shared" si="7"/>
        <v>3334.438</v>
      </c>
      <c r="T13" s="162"/>
      <c r="U13" s="205"/>
      <c r="V13" s="162">
        <f>Q13+T13</f>
        <v>0</v>
      </c>
      <c r="W13" s="162">
        <f t="shared" si="8"/>
        <v>3334.438</v>
      </c>
      <c r="X13" s="162">
        <f t="shared" si="9"/>
        <v>3334.438</v>
      </c>
      <c r="Y13" s="162"/>
      <c r="Z13" s="162"/>
      <c r="AA13" s="162"/>
      <c r="AB13" s="162">
        <f t="shared" si="10"/>
        <v>0</v>
      </c>
      <c r="AC13" s="162">
        <f t="shared" si="11"/>
        <v>3334.438</v>
      </c>
      <c r="AD13" s="162">
        <f t="shared" si="12"/>
        <v>3334.438</v>
      </c>
      <c r="AE13" s="162"/>
      <c r="AF13" s="158"/>
      <c r="AG13" s="158">
        <v>3334.438</v>
      </c>
      <c r="AH13" s="167" t="e">
        <f t="shared" si="17"/>
        <v>#DIV/0!</v>
      </c>
      <c r="AI13" s="257"/>
    </row>
    <row r="14" spans="1:35" ht="15" customHeight="1" hidden="1">
      <c r="A14" s="198"/>
      <c r="B14" s="175"/>
      <c r="C14" s="176"/>
      <c r="D14" s="162"/>
      <c r="E14" s="158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>
        <f t="shared" si="5"/>
        <v>0</v>
      </c>
      <c r="R14" s="162">
        <f t="shared" si="6"/>
        <v>0</v>
      </c>
      <c r="S14" s="162"/>
      <c r="T14" s="162"/>
      <c r="U14" s="205"/>
      <c r="V14" s="162">
        <f>Q14+T14</f>
        <v>0</v>
      </c>
      <c r="W14" s="162">
        <f t="shared" si="8"/>
        <v>0</v>
      </c>
      <c r="X14" s="162">
        <f t="shared" si="9"/>
        <v>0</v>
      </c>
      <c r="Y14" s="162"/>
      <c r="Z14" s="162"/>
      <c r="AA14" s="162"/>
      <c r="AB14" s="162">
        <f t="shared" si="10"/>
        <v>0</v>
      </c>
      <c r="AC14" s="162">
        <f t="shared" si="11"/>
        <v>0</v>
      </c>
      <c r="AD14" s="162">
        <f t="shared" si="12"/>
        <v>0</v>
      </c>
      <c r="AE14" s="162"/>
      <c r="AF14" s="158"/>
      <c r="AG14" s="158">
        <v>0</v>
      </c>
      <c r="AH14" s="167" t="e">
        <f t="shared" si="17"/>
        <v>#DIV/0!</v>
      </c>
      <c r="AI14" s="257"/>
    </row>
    <row r="15" spans="1:35" ht="15.75">
      <c r="A15" s="198" t="s">
        <v>9</v>
      </c>
      <c r="B15" s="175" t="s">
        <v>10</v>
      </c>
      <c r="C15" s="176" t="s">
        <v>249</v>
      </c>
      <c r="D15" s="162">
        <v>41687.45</v>
      </c>
      <c r="E15" s="162">
        <v>44364.31</v>
      </c>
      <c r="F15" s="162">
        <f>'[2]ТП и ХН'!E35</f>
        <v>6566.725996</v>
      </c>
      <c r="G15" s="162">
        <v>6303.505</v>
      </c>
      <c r="H15" s="162">
        <f t="shared" si="0"/>
        <v>-263.220996</v>
      </c>
      <c r="I15" s="162">
        <f>'[2]ТП и ХН'!F35</f>
        <v>6288.8619260000005</v>
      </c>
      <c r="J15" s="162">
        <v>6107.672</v>
      </c>
      <c r="K15" s="162">
        <f t="shared" si="1"/>
        <v>-181.18992600000092</v>
      </c>
      <c r="L15" s="162">
        <f t="shared" si="2"/>
        <v>12855.587922</v>
      </c>
      <c r="M15" s="162">
        <f t="shared" si="3"/>
        <v>12411.177</v>
      </c>
      <c r="N15" s="162">
        <f t="shared" si="4"/>
        <v>-444.41092200000094</v>
      </c>
      <c r="O15" s="162">
        <f>'[2]ТП и ХН'!G35</f>
        <v>5393.3537479999995</v>
      </c>
      <c r="P15" s="162">
        <v>5309.445</v>
      </c>
      <c r="Q15" s="162">
        <f t="shared" si="5"/>
        <v>18248.94167</v>
      </c>
      <c r="R15" s="162">
        <f t="shared" si="6"/>
        <v>17720.622</v>
      </c>
      <c r="S15" s="162">
        <f>R15-Q15</f>
        <v>-528.3196700000008</v>
      </c>
      <c r="T15" s="162">
        <f>'[2]ТП и ХН'!H35</f>
        <v>2091.2987880000005</v>
      </c>
      <c r="U15" s="205">
        <v>3106.355</v>
      </c>
      <c r="V15" s="162">
        <v>20826.98</v>
      </c>
      <c r="W15" s="162">
        <f t="shared" si="8"/>
        <v>20826.977</v>
      </c>
      <c r="X15" s="162">
        <f t="shared" si="9"/>
        <v>-0.0030000000006111804</v>
      </c>
      <c r="Y15" s="162">
        <v>1405.75</v>
      </c>
      <c r="Z15" s="162">
        <v>1276.806</v>
      </c>
      <c r="AA15" s="162"/>
      <c r="AB15" s="162">
        <f t="shared" si="10"/>
        <v>22232.73</v>
      </c>
      <c r="AC15" s="162">
        <f t="shared" si="11"/>
        <v>22103.783</v>
      </c>
      <c r="AD15" s="162">
        <f t="shared" si="12"/>
        <v>-128.94700000000012</v>
      </c>
      <c r="AE15" s="162">
        <v>1113.33</v>
      </c>
      <c r="AF15" s="162">
        <v>44364.31</v>
      </c>
      <c r="AG15" s="162">
        <v>23217.112999999998</v>
      </c>
      <c r="AH15" s="167">
        <f t="shared" si="17"/>
        <v>52.332861707981024</v>
      </c>
      <c r="AI15" s="257"/>
    </row>
    <row r="16" spans="1:35" ht="31.5">
      <c r="A16" s="198" t="s">
        <v>11</v>
      </c>
      <c r="B16" s="158" t="s">
        <v>86</v>
      </c>
      <c r="C16" s="176" t="s">
        <v>249</v>
      </c>
      <c r="D16" s="177">
        <v>515640.41</v>
      </c>
      <c r="E16" s="158">
        <v>523269.86</v>
      </c>
      <c r="F16" s="177">
        <f>'[2]ТП и ХН'!E18</f>
        <v>60503.36097208523</v>
      </c>
      <c r="G16" s="177">
        <v>52960.538</v>
      </c>
      <c r="H16" s="162">
        <f t="shared" si="0"/>
        <v>-7542.822972085232</v>
      </c>
      <c r="I16" s="177">
        <f>'[2]ТП и ХН'!F18</f>
        <v>51462.375616824625</v>
      </c>
      <c r="J16" s="177">
        <v>49139.733</v>
      </c>
      <c r="K16" s="162">
        <f t="shared" si="1"/>
        <v>-2322.6426168246253</v>
      </c>
      <c r="L16" s="162">
        <f t="shared" si="2"/>
        <v>111965.73658890986</v>
      </c>
      <c r="M16" s="162">
        <f t="shared" si="3"/>
        <v>102100.27100000001</v>
      </c>
      <c r="N16" s="162">
        <f t="shared" si="4"/>
        <v>-9865.46558890985</v>
      </c>
      <c r="O16" s="177">
        <f>'[2]ТП и ХН'!G18</f>
        <v>52593.41683917242</v>
      </c>
      <c r="P16" s="177">
        <v>49693.509</v>
      </c>
      <c r="Q16" s="162">
        <f t="shared" si="5"/>
        <v>164559.1534280823</v>
      </c>
      <c r="R16" s="162">
        <f t="shared" si="6"/>
        <v>151793.78</v>
      </c>
      <c r="S16" s="162">
        <f>R16-Q16</f>
        <v>-12765.373428082297</v>
      </c>
      <c r="T16" s="177">
        <f>'[2]ТП и ХН'!H18</f>
        <v>33226.17201234688</v>
      </c>
      <c r="U16" s="207">
        <v>32665.815</v>
      </c>
      <c r="V16" s="162">
        <v>184459.59</v>
      </c>
      <c r="W16" s="162">
        <f t="shared" si="8"/>
        <v>184459.595</v>
      </c>
      <c r="X16" s="162">
        <f t="shared" si="9"/>
        <v>0.005000000004656613</v>
      </c>
      <c r="Y16" s="177">
        <v>25551.18</v>
      </c>
      <c r="Z16" s="177">
        <v>21217.435</v>
      </c>
      <c r="AA16" s="177"/>
      <c r="AB16" s="162">
        <f t="shared" si="10"/>
        <v>210010.77</v>
      </c>
      <c r="AC16" s="162">
        <f t="shared" si="11"/>
        <v>205677.03</v>
      </c>
      <c r="AD16" s="162">
        <f t="shared" si="12"/>
        <v>-4333.739999999991</v>
      </c>
      <c r="AE16" s="177">
        <f>'[2]ТП и ХН'!J18</f>
        <v>24721.32957417321</v>
      </c>
      <c r="AF16" s="158">
        <v>523269.86</v>
      </c>
      <c r="AG16" s="158">
        <v>230398.3595741732</v>
      </c>
      <c r="AH16" s="167">
        <f t="shared" si="17"/>
        <v>44.03050456110222</v>
      </c>
      <c r="AI16" s="257"/>
    </row>
    <row r="17" spans="1:35" s="166" customFormat="1" ht="15.75">
      <c r="A17" s="165" t="s">
        <v>12</v>
      </c>
      <c r="B17" s="159" t="s">
        <v>87</v>
      </c>
      <c r="C17" s="160" t="s">
        <v>249</v>
      </c>
      <c r="D17" s="161">
        <f>D18+D19+D20</f>
        <v>1000004.7472000001</v>
      </c>
      <c r="E17" s="169">
        <f>E18+E19+E20</f>
        <v>1060006.0084320002</v>
      </c>
      <c r="F17" s="169" t="e">
        <f>F18+F19+F20+#REF!</f>
        <v>#REF!</v>
      </c>
      <c r="G17" s="169" t="e">
        <f>G18+G19+G20+#REF!</f>
        <v>#REF!</v>
      </c>
      <c r="H17" s="169" t="e">
        <f>H18+H19+H20+#REF!</f>
        <v>#REF!</v>
      </c>
      <c r="I17" s="169" t="e">
        <f>I18+I19+I20+#REF!</f>
        <v>#REF!</v>
      </c>
      <c r="J17" s="169" t="e">
        <f>J18+J19+J20+#REF!</f>
        <v>#REF!</v>
      </c>
      <c r="K17" s="169" t="e">
        <f>K18+K19+K20+#REF!</f>
        <v>#REF!</v>
      </c>
      <c r="L17" s="169" t="e">
        <f>L18+L19+L20+#REF!</f>
        <v>#REF!</v>
      </c>
      <c r="M17" s="169" t="e">
        <f>M18+M19+M20+#REF!</f>
        <v>#REF!</v>
      </c>
      <c r="N17" s="169" t="e">
        <f>N18+N19+N20+#REF!</f>
        <v>#REF!</v>
      </c>
      <c r="O17" s="169" t="e">
        <f>O18+O19+O20+#REF!</f>
        <v>#REF!</v>
      </c>
      <c r="P17" s="169" t="e">
        <f>P18+P19+P20+#REF!</f>
        <v>#REF!</v>
      </c>
      <c r="Q17" s="169" t="e">
        <f>Q18+Q19+Q20+#REF!</f>
        <v>#REF!</v>
      </c>
      <c r="R17" s="169" t="e">
        <f>R18+R19+R20+#REF!</f>
        <v>#REF!</v>
      </c>
      <c r="S17" s="169" t="e">
        <f>S18+S19+S20+#REF!</f>
        <v>#REF!</v>
      </c>
      <c r="T17" s="169" t="e">
        <f>T18+T19+T20+#REF!</f>
        <v>#REF!</v>
      </c>
      <c r="U17" s="202" t="e">
        <f>U18+U19+U20+#REF!</f>
        <v>#REF!</v>
      </c>
      <c r="V17" s="169" t="e">
        <f>V18+V19+V20+#REF!</f>
        <v>#REF!</v>
      </c>
      <c r="W17" s="169" t="e">
        <f>W18+W19+W20+#REF!</f>
        <v>#REF!</v>
      </c>
      <c r="X17" s="169" t="e">
        <f>X18+X19+X20+#REF!</f>
        <v>#REF!</v>
      </c>
      <c r="Y17" s="169" t="e">
        <f>Y18+Y19+Y20+#REF!</f>
        <v>#REF!</v>
      </c>
      <c r="Z17" s="169" t="e">
        <f>Z18+Z19+Z20+#REF!</f>
        <v>#REF!</v>
      </c>
      <c r="AA17" s="169" t="e">
        <f>AA18+AA19+AA20+#REF!</f>
        <v>#REF!</v>
      </c>
      <c r="AB17" s="169" t="e">
        <f>AB18+AB19+AB20+#REF!</f>
        <v>#REF!</v>
      </c>
      <c r="AC17" s="169" t="e">
        <f>AC18+AC19+AC20+#REF!</f>
        <v>#REF!</v>
      </c>
      <c r="AD17" s="169" t="e">
        <f>AD18+AD19+AD20+#REF!</f>
        <v>#REF!</v>
      </c>
      <c r="AE17" s="169" t="e">
        <f>AE18+AE19+AE20+#REF!</f>
        <v>#REF!</v>
      </c>
      <c r="AF17" s="169">
        <f>AF18+AF19+AF20</f>
        <v>1060006.0084320002</v>
      </c>
      <c r="AG17" s="169">
        <v>518670.47847</v>
      </c>
      <c r="AH17" s="164">
        <f t="shared" si="17"/>
        <v>48.93089985756179</v>
      </c>
      <c r="AI17" s="257"/>
    </row>
    <row r="18" spans="1:35" s="178" customFormat="1" ht="15.75">
      <c r="A18" s="198" t="s">
        <v>13</v>
      </c>
      <c r="B18" s="175" t="s">
        <v>88</v>
      </c>
      <c r="C18" s="176" t="s">
        <v>249</v>
      </c>
      <c r="D18" s="162">
        <v>909892.8</v>
      </c>
      <c r="E18" s="158">
        <v>964486.3680000002</v>
      </c>
      <c r="F18" s="162">
        <f>'[2]ФОТ'!F7</f>
        <v>78722.445</v>
      </c>
      <c r="G18" s="162">
        <v>78016.224</v>
      </c>
      <c r="H18" s="162">
        <f t="shared" si="0"/>
        <v>-706.221000000005</v>
      </c>
      <c r="I18" s="162">
        <f>'[2]ФОТ'!G7</f>
        <v>78722.445</v>
      </c>
      <c r="J18" s="162">
        <v>76306.484</v>
      </c>
      <c r="K18" s="162">
        <f t="shared" si="1"/>
        <v>-2415.9610000000102</v>
      </c>
      <c r="L18" s="162">
        <f t="shared" si="2"/>
        <v>157444.89</v>
      </c>
      <c r="M18" s="162">
        <f t="shared" si="3"/>
        <v>154322.70799999998</v>
      </c>
      <c r="N18" s="162">
        <f t="shared" si="4"/>
        <v>-3122.18200000003</v>
      </c>
      <c r="O18" s="162">
        <f>'[2]ФОТ'!H7</f>
        <v>78972.445</v>
      </c>
      <c r="P18" s="162">
        <v>78450.897</v>
      </c>
      <c r="Q18" s="162">
        <f aca="true" t="shared" si="18" ref="Q18:R23">L18+O18</f>
        <v>236417.33500000002</v>
      </c>
      <c r="R18" s="162">
        <f t="shared" si="18"/>
        <v>232773.60499999998</v>
      </c>
      <c r="S18" s="162">
        <f aca="true" t="shared" si="19" ref="S18:S23">R18-Q18</f>
        <v>-3643.7300000000396</v>
      </c>
      <c r="T18" s="162">
        <f>'[2]ФОТ'!I7</f>
        <v>82951.06725</v>
      </c>
      <c r="U18" s="205">
        <v>75648.958</v>
      </c>
      <c r="V18" s="162">
        <v>309620.29</v>
      </c>
      <c r="W18" s="162">
        <f t="shared" si="8"/>
        <v>308422.56299999997</v>
      </c>
      <c r="X18" s="162">
        <f t="shared" si="9"/>
        <v>-1197.7270000000135</v>
      </c>
      <c r="Y18" s="162">
        <v>83116.78</v>
      </c>
      <c r="Z18" s="162">
        <v>79507.239</v>
      </c>
      <c r="AA18" s="162"/>
      <c r="AB18" s="162">
        <f t="shared" si="10"/>
        <v>392737.06999999995</v>
      </c>
      <c r="AC18" s="162">
        <f t="shared" si="11"/>
        <v>387929.80199999997</v>
      </c>
      <c r="AD18" s="162">
        <f t="shared" si="12"/>
        <v>-4807.267999999982</v>
      </c>
      <c r="AE18" s="162">
        <v>83614.53</v>
      </c>
      <c r="AF18" s="158">
        <v>964486.3680000002</v>
      </c>
      <c r="AG18" s="158">
        <v>471544.33199999994</v>
      </c>
      <c r="AH18" s="167">
        <f t="shared" si="17"/>
        <v>48.89072024706935</v>
      </c>
      <c r="AI18" s="257"/>
    </row>
    <row r="19" spans="1:35" s="178" customFormat="1" ht="15.75">
      <c r="A19" s="198" t="s">
        <v>14</v>
      </c>
      <c r="B19" s="175" t="s">
        <v>356</v>
      </c>
      <c r="C19" s="176" t="s">
        <v>249</v>
      </c>
      <c r="D19" s="162">
        <f>D18*0.099</f>
        <v>90079.38720000001</v>
      </c>
      <c r="E19" s="158">
        <v>95484.15043200002</v>
      </c>
      <c r="F19" s="162">
        <f>'[2]ФОТ'!F14</f>
        <v>7793.522055</v>
      </c>
      <c r="G19" s="162">
        <v>7780.021</v>
      </c>
      <c r="H19" s="162">
        <f t="shared" si="0"/>
        <v>-13.501055000000633</v>
      </c>
      <c r="I19" s="162">
        <f>'[2]ФОТ'!G14</f>
        <v>7793.522055</v>
      </c>
      <c r="J19" s="162">
        <v>7613.077</v>
      </c>
      <c r="K19" s="162">
        <f t="shared" si="1"/>
        <v>-180.44505500000014</v>
      </c>
      <c r="L19" s="162">
        <f t="shared" si="2"/>
        <v>15587.04411</v>
      </c>
      <c r="M19" s="162">
        <f t="shared" si="3"/>
        <v>15393.098</v>
      </c>
      <c r="N19" s="162">
        <f t="shared" si="4"/>
        <v>-193.94611000000077</v>
      </c>
      <c r="O19" s="162">
        <f>'[2]ФОТ'!H14</f>
        <v>7818.272055</v>
      </c>
      <c r="P19" s="162">
        <v>7835.695</v>
      </c>
      <c r="Q19" s="162">
        <f t="shared" si="18"/>
        <v>23405.316165</v>
      </c>
      <c r="R19" s="162">
        <f t="shared" si="18"/>
        <v>23228.792999999998</v>
      </c>
      <c r="S19" s="162">
        <f t="shared" si="19"/>
        <v>-176.52316500000234</v>
      </c>
      <c r="T19" s="162">
        <f>'[2]ФОТ'!I14</f>
        <v>8212.15565775</v>
      </c>
      <c r="U19" s="205">
        <v>7552.295</v>
      </c>
      <c r="V19" s="162">
        <v>30899.66</v>
      </c>
      <c r="W19" s="162">
        <f t="shared" si="8"/>
        <v>30781.087999999996</v>
      </c>
      <c r="X19" s="162">
        <f t="shared" si="9"/>
        <v>-118.57200000000375</v>
      </c>
      <c r="Y19" s="162">
        <f>Y18*0.9*0.11</f>
        <v>8228.56122</v>
      </c>
      <c r="Z19" s="162">
        <v>7934.026</v>
      </c>
      <c r="AA19" s="162"/>
      <c r="AB19" s="162">
        <f t="shared" si="10"/>
        <v>39128.22122</v>
      </c>
      <c r="AC19" s="162">
        <f t="shared" si="11"/>
        <v>38715.113999999994</v>
      </c>
      <c r="AD19" s="162">
        <f t="shared" si="12"/>
        <v>-413.1072200000053</v>
      </c>
      <c r="AE19" s="162">
        <f>AE18*0.9*0.11</f>
        <v>8277.83847</v>
      </c>
      <c r="AF19" s="158">
        <v>95484.15043200002</v>
      </c>
      <c r="AG19" s="158">
        <v>46992.95247</v>
      </c>
      <c r="AH19" s="167">
        <f t="shared" si="17"/>
        <v>49.21544806901381</v>
      </c>
      <c r="AI19" s="258"/>
    </row>
    <row r="20" spans="1:35" s="178" customFormat="1" ht="15.75">
      <c r="A20" s="198" t="s">
        <v>255</v>
      </c>
      <c r="B20" s="175" t="s">
        <v>89</v>
      </c>
      <c r="C20" s="176" t="s">
        <v>249</v>
      </c>
      <c r="D20" s="162">
        <v>32.56</v>
      </c>
      <c r="E20" s="158">
        <v>35.49</v>
      </c>
      <c r="F20" s="162">
        <v>35.49</v>
      </c>
      <c r="G20" s="162">
        <v>21.097</v>
      </c>
      <c r="H20" s="162">
        <f t="shared" si="0"/>
        <v>-14.393</v>
      </c>
      <c r="I20" s="162">
        <v>35.49</v>
      </c>
      <c r="J20" s="162">
        <v>22.515</v>
      </c>
      <c r="K20" s="162">
        <f t="shared" si="1"/>
        <v>-12.975000000000001</v>
      </c>
      <c r="L20" s="162">
        <f t="shared" si="2"/>
        <v>70.98</v>
      </c>
      <c r="M20" s="162">
        <f t="shared" si="3"/>
        <v>43.612</v>
      </c>
      <c r="N20" s="162">
        <f t="shared" si="4"/>
        <v>-27.368000000000002</v>
      </c>
      <c r="O20" s="162">
        <v>35.49</v>
      </c>
      <c r="P20" s="162">
        <v>21.887</v>
      </c>
      <c r="Q20" s="162">
        <f t="shared" si="18"/>
        <v>106.47</v>
      </c>
      <c r="R20" s="162">
        <f t="shared" si="18"/>
        <v>65.499</v>
      </c>
      <c r="S20" s="162">
        <f t="shared" si="19"/>
        <v>-40.971000000000004</v>
      </c>
      <c r="T20" s="162">
        <v>35.49</v>
      </c>
      <c r="U20" s="205">
        <v>21.06</v>
      </c>
      <c r="V20" s="162">
        <v>86.57</v>
      </c>
      <c r="W20" s="162">
        <f t="shared" si="8"/>
        <v>86.559</v>
      </c>
      <c r="X20" s="162">
        <f t="shared" si="9"/>
        <v>-0.01099999999999568</v>
      </c>
      <c r="Y20" s="162">
        <v>22.52</v>
      </c>
      <c r="Z20" s="162">
        <v>24.115</v>
      </c>
      <c r="AA20" s="162"/>
      <c r="AB20" s="162">
        <f t="shared" si="10"/>
        <v>109.08999999999999</v>
      </c>
      <c r="AC20" s="162">
        <f t="shared" si="11"/>
        <v>110.67399999999999</v>
      </c>
      <c r="AD20" s="162">
        <f t="shared" si="12"/>
        <v>1.5840000000000032</v>
      </c>
      <c r="AE20" s="162">
        <v>22.52</v>
      </c>
      <c r="AF20" s="158">
        <v>35.49</v>
      </c>
      <c r="AG20" s="158">
        <v>133.194</v>
      </c>
      <c r="AH20" s="167">
        <f t="shared" si="17"/>
        <v>375.3000845308537</v>
      </c>
      <c r="AI20" s="181"/>
    </row>
    <row r="21" spans="1:35" s="154" customFormat="1" ht="47.25">
      <c r="A21" s="171" t="s">
        <v>15</v>
      </c>
      <c r="B21" s="179" t="s">
        <v>373</v>
      </c>
      <c r="C21" s="160" t="s">
        <v>249</v>
      </c>
      <c r="D21" s="169">
        <v>356049.9484713763</v>
      </c>
      <c r="E21" s="169">
        <v>447168.38760164223</v>
      </c>
      <c r="F21" s="169">
        <v>37264.03</v>
      </c>
      <c r="G21" s="169">
        <v>276820.87</v>
      </c>
      <c r="H21" s="162">
        <f t="shared" si="0"/>
        <v>239556.84</v>
      </c>
      <c r="I21" s="169">
        <v>37264.03</v>
      </c>
      <c r="J21" s="169">
        <v>276908.087</v>
      </c>
      <c r="K21" s="162">
        <f t="shared" si="1"/>
        <v>239644.057</v>
      </c>
      <c r="L21" s="162">
        <f t="shared" si="2"/>
        <v>74528.06</v>
      </c>
      <c r="M21" s="162">
        <f t="shared" si="3"/>
        <v>553728.9569999999</v>
      </c>
      <c r="N21" s="162">
        <f t="shared" si="4"/>
        <v>479200.89699999994</v>
      </c>
      <c r="O21" s="169">
        <v>37264.03</v>
      </c>
      <c r="P21" s="169">
        <v>276928.589</v>
      </c>
      <c r="Q21" s="161">
        <f t="shared" si="18"/>
        <v>111792.09</v>
      </c>
      <c r="R21" s="161">
        <f t="shared" si="18"/>
        <v>830657.5459999999</v>
      </c>
      <c r="S21" s="161">
        <f t="shared" si="19"/>
        <v>718865.4559999999</v>
      </c>
      <c r="T21" s="169">
        <v>37264.03</v>
      </c>
      <c r="U21" s="202">
        <v>276912.746</v>
      </c>
      <c r="V21" s="161">
        <f>Q21+T21</f>
        <v>149056.12</v>
      </c>
      <c r="W21" s="161">
        <f t="shared" si="8"/>
        <v>1107570.292</v>
      </c>
      <c r="X21" s="161">
        <f t="shared" si="9"/>
        <v>958514.1719999999</v>
      </c>
      <c r="Y21" s="169">
        <v>37264.03</v>
      </c>
      <c r="Z21" s="169">
        <f>U21</f>
        <v>276912.746</v>
      </c>
      <c r="AA21" s="169"/>
      <c r="AB21" s="161">
        <f t="shared" si="10"/>
        <v>186320.15</v>
      </c>
      <c r="AC21" s="161">
        <f t="shared" si="11"/>
        <v>1384483.038</v>
      </c>
      <c r="AD21" s="161">
        <f t="shared" si="12"/>
        <v>1198162.888</v>
      </c>
      <c r="AE21" s="169">
        <f>Z21</f>
        <v>276912.746</v>
      </c>
      <c r="AF21" s="169">
        <v>447168.38760164223</v>
      </c>
      <c r="AG21" s="169">
        <v>1661395.784</v>
      </c>
      <c r="AH21" s="167">
        <f t="shared" si="17"/>
        <v>371.53694895803915</v>
      </c>
      <c r="AI21" s="158" t="s">
        <v>424</v>
      </c>
    </row>
    <row r="22" spans="1:35" s="154" customFormat="1" ht="15.75">
      <c r="A22" s="171" t="s">
        <v>279</v>
      </c>
      <c r="B22" s="169" t="s">
        <v>90</v>
      </c>
      <c r="C22" s="176" t="s">
        <v>249</v>
      </c>
      <c r="D22" s="161">
        <v>103926.48</v>
      </c>
      <c r="E22" s="161">
        <v>163401.61</v>
      </c>
      <c r="F22" s="161">
        <f>F23</f>
        <v>1665.15171312</v>
      </c>
      <c r="G22" s="161">
        <f>3426.97+3.928</f>
        <v>3430.8979999999997</v>
      </c>
      <c r="H22" s="162">
        <f t="shared" si="0"/>
        <v>1765.7462868799996</v>
      </c>
      <c r="I22" s="161">
        <f>I23</f>
        <v>2122.65689328</v>
      </c>
      <c r="J22" s="161">
        <v>2303.74</v>
      </c>
      <c r="K22" s="162">
        <f t="shared" si="1"/>
        <v>181.0831067199997</v>
      </c>
      <c r="L22" s="162">
        <f t="shared" si="2"/>
        <v>3787.8086064</v>
      </c>
      <c r="M22" s="162">
        <f t="shared" si="3"/>
        <v>5734.637999999999</v>
      </c>
      <c r="N22" s="162">
        <f t="shared" si="4"/>
        <v>1946.829393599999</v>
      </c>
      <c r="O22" s="161">
        <f>O23</f>
        <v>1999.6880971200003</v>
      </c>
      <c r="P22" s="161">
        <f>3672.076</f>
        <v>3672.076</v>
      </c>
      <c r="Q22" s="161">
        <f t="shared" si="18"/>
        <v>5787.496703520001</v>
      </c>
      <c r="R22" s="161">
        <f t="shared" si="18"/>
        <v>9406.714</v>
      </c>
      <c r="S22" s="161">
        <f t="shared" si="19"/>
        <v>3619.2172964799993</v>
      </c>
      <c r="T22" s="161">
        <f>T23</f>
        <v>2479.04013504</v>
      </c>
      <c r="U22" s="204">
        <f>U23</f>
        <v>2079.052</v>
      </c>
      <c r="V22" s="161">
        <v>11068.68</v>
      </c>
      <c r="W22" s="161">
        <f t="shared" si="8"/>
        <v>11485.766</v>
      </c>
      <c r="X22" s="161">
        <f t="shared" si="9"/>
        <v>417.08599999999933</v>
      </c>
      <c r="Y22" s="161">
        <f>Y23</f>
        <v>23722.66</v>
      </c>
      <c r="Z22" s="161">
        <v>9122.117</v>
      </c>
      <c r="AA22" s="161"/>
      <c r="AB22" s="161">
        <f t="shared" si="10"/>
        <v>34791.34</v>
      </c>
      <c r="AC22" s="161">
        <f t="shared" si="11"/>
        <v>20607.883</v>
      </c>
      <c r="AD22" s="161">
        <f t="shared" si="12"/>
        <v>-14183.456999999995</v>
      </c>
      <c r="AE22" s="161">
        <f>AE23</f>
        <v>28780.17</v>
      </c>
      <c r="AF22" s="161">
        <v>163401.61</v>
      </c>
      <c r="AG22" s="161">
        <v>49388.053</v>
      </c>
      <c r="AH22" s="164">
        <f t="shared" si="17"/>
        <v>30.22494882394366</v>
      </c>
      <c r="AI22" s="169"/>
    </row>
    <row r="23" spans="1:35" ht="31.5">
      <c r="A23" s="198" t="s">
        <v>91</v>
      </c>
      <c r="B23" s="175" t="s">
        <v>92</v>
      </c>
      <c r="C23" s="176" t="s">
        <v>249</v>
      </c>
      <c r="D23" s="161">
        <v>103926.48</v>
      </c>
      <c r="E23" s="161">
        <v>163401.61</v>
      </c>
      <c r="F23" s="161">
        <f>'[2]КР'!B30</f>
        <v>1665.15171312</v>
      </c>
      <c r="G23" s="161">
        <f>G22</f>
        <v>3430.8979999999997</v>
      </c>
      <c r="H23" s="162">
        <f t="shared" si="0"/>
        <v>1765.7462868799996</v>
      </c>
      <c r="I23" s="162">
        <f>'[2]КР'!C30</f>
        <v>2122.65689328</v>
      </c>
      <c r="J23" s="162">
        <f>J22</f>
        <v>2303.74</v>
      </c>
      <c r="K23" s="162">
        <f t="shared" si="1"/>
        <v>181.0831067199997</v>
      </c>
      <c r="L23" s="162">
        <f t="shared" si="2"/>
        <v>3787.8086064</v>
      </c>
      <c r="M23" s="162">
        <f t="shared" si="3"/>
        <v>5734.637999999999</v>
      </c>
      <c r="N23" s="162">
        <f t="shared" si="4"/>
        <v>1946.829393599999</v>
      </c>
      <c r="O23" s="161">
        <f>'[2]КР'!D30</f>
        <v>1999.6880971200003</v>
      </c>
      <c r="P23" s="161">
        <f>P22</f>
        <v>3672.076</v>
      </c>
      <c r="Q23" s="162">
        <f t="shared" si="18"/>
        <v>5787.496703520001</v>
      </c>
      <c r="R23" s="162">
        <f t="shared" si="18"/>
        <v>9406.714</v>
      </c>
      <c r="S23" s="162">
        <f t="shared" si="19"/>
        <v>3619.2172964799993</v>
      </c>
      <c r="T23" s="161">
        <f>'[2]КР'!E30</f>
        <v>2479.04013504</v>
      </c>
      <c r="U23" s="204">
        <v>2079.052</v>
      </c>
      <c r="V23" s="161">
        <v>11068.68</v>
      </c>
      <c r="W23" s="161">
        <f t="shared" si="8"/>
        <v>11485.766</v>
      </c>
      <c r="X23" s="161">
        <f t="shared" si="9"/>
        <v>417.08599999999933</v>
      </c>
      <c r="Y23" s="161">
        <v>23722.66</v>
      </c>
      <c r="Z23" s="161">
        <v>9122.117</v>
      </c>
      <c r="AA23" s="161"/>
      <c r="AB23" s="162">
        <f t="shared" si="10"/>
        <v>34791.34</v>
      </c>
      <c r="AC23" s="162">
        <f t="shared" si="11"/>
        <v>20607.883</v>
      </c>
      <c r="AD23" s="162">
        <f t="shared" si="12"/>
        <v>-14183.456999999995</v>
      </c>
      <c r="AE23" s="161">
        <v>28780.17</v>
      </c>
      <c r="AF23" s="161">
        <v>163401.61</v>
      </c>
      <c r="AG23" s="161">
        <v>49388.053</v>
      </c>
      <c r="AH23" s="164">
        <f t="shared" si="17"/>
        <v>30.22494882394366</v>
      </c>
      <c r="AI23" s="256" t="s">
        <v>426</v>
      </c>
    </row>
    <row r="24" spans="1:35" s="154" customFormat="1" ht="15.75">
      <c r="A24" s="171" t="s">
        <v>330</v>
      </c>
      <c r="B24" s="179" t="s">
        <v>93</v>
      </c>
      <c r="C24" s="176" t="s">
        <v>249</v>
      </c>
      <c r="D24" s="161">
        <f aca="true" t="shared" si="20" ref="D24:AE24">D25+D27+D28+D32+D33+D34+D35+D36+D37+D38+D39</f>
        <v>48943.95076</v>
      </c>
      <c r="E24" s="161">
        <f t="shared" si="20"/>
        <v>50937.36002559999</v>
      </c>
      <c r="F24" s="161">
        <f t="shared" si="20"/>
        <v>8702.602569908395</v>
      </c>
      <c r="G24" s="161">
        <f>G25+G27+G28+G32+G33+G34+G35+G36+G37+G38+G39</f>
        <v>6467.196</v>
      </c>
      <c r="H24" s="161">
        <f t="shared" si="20"/>
        <v>-2235.4065699083935</v>
      </c>
      <c r="I24" s="161">
        <f t="shared" si="20"/>
        <v>8994.033054331787</v>
      </c>
      <c r="J24" s="161">
        <f t="shared" si="20"/>
        <v>7378.703499999999</v>
      </c>
      <c r="K24" s="161">
        <f t="shared" si="20"/>
        <v>-1615.3295543317863</v>
      </c>
      <c r="L24" s="161">
        <f t="shared" si="20"/>
        <v>17696.635624240178</v>
      </c>
      <c r="M24" s="161">
        <f t="shared" si="20"/>
        <v>13845.8995</v>
      </c>
      <c r="N24" s="161">
        <f t="shared" si="20"/>
        <v>-3850.7361242401803</v>
      </c>
      <c r="O24" s="161">
        <f t="shared" si="20"/>
        <v>9281.97243641</v>
      </c>
      <c r="P24" s="161">
        <f t="shared" si="20"/>
        <v>6245.047</v>
      </c>
      <c r="Q24" s="161">
        <f>Q25+Q27+Q28+Q32+Q33+Q34+Q35+Q36+Q37+Q38+Q39</f>
        <v>26978.60806065018</v>
      </c>
      <c r="R24" s="161">
        <f>R25+R27+R28+R32+R33+R34+R35+R36+R37+R38+R39</f>
        <v>20090.946500000002</v>
      </c>
      <c r="S24" s="161">
        <f>S25+S27+S28+S32+S33+S34+S35+S36+S37+S38+S39</f>
        <v>-6887.661560650182</v>
      </c>
      <c r="T24" s="161">
        <f t="shared" si="20"/>
        <v>4574.792693951428</v>
      </c>
      <c r="U24" s="204">
        <f t="shared" si="20"/>
        <v>4944.565</v>
      </c>
      <c r="V24" s="161">
        <f t="shared" si="20"/>
        <v>24482.798000000003</v>
      </c>
      <c r="W24" s="161">
        <f t="shared" si="20"/>
        <v>25035.5115</v>
      </c>
      <c r="X24" s="161">
        <f t="shared" si="20"/>
        <v>552.7135000000002</v>
      </c>
      <c r="Y24" s="161">
        <f t="shared" si="20"/>
        <v>6629.611788</v>
      </c>
      <c r="Z24" s="161">
        <f t="shared" si="20"/>
        <v>1945.0935</v>
      </c>
      <c r="AA24" s="161">
        <f t="shared" si="20"/>
        <v>0</v>
      </c>
      <c r="AB24" s="161">
        <f t="shared" si="20"/>
        <v>31112.409788</v>
      </c>
      <c r="AC24" s="161">
        <f t="shared" si="20"/>
        <v>26980.605000000003</v>
      </c>
      <c r="AD24" s="161">
        <f t="shared" si="20"/>
        <v>-4131.8047879999995</v>
      </c>
      <c r="AE24" s="161">
        <f t="shared" si="20"/>
        <v>1906.3710879999999</v>
      </c>
      <c r="AF24" s="161">
        <f>AF25+AF27+AF28+AF32+AF33+AF34+AF35+AF36+AF37+AF38+AF39</f>
        <v>50937.36002559999</v>
      </c>
      <c r="AG24" s="161">
        <v>28886.976088000003</v>
      </c>
      <c r="AH24" s="164">
        <f t="shared" si="17"/>
        <v>56.71078374199614</v>
      </c>
      <c r="AI24" s="257"/>
    </row>
    <row r="25" spans="1:35" ht="15.75">
      <c r="A25" s="198" t="s">
        <v>94</v>
      </c>
      <c r="B25" s="175" t="s">
        <v>280</v>
      </c>
      <c r="C25" s="176" t="s">
        <v>249</v>
      </c>
      <c r="D25" s="162">
        <v>9034.249</v>
      </c>
      <c r="E25" s="158">
        <v>9576.30394</v>
      </c>
      <c r="F25" s="162">
        <v>700.56</v>
      </c>
      <c r="G25" s="162">
        <v>667.416</v>
      </c>
      <c r="H25" s="162">
        <f t="shared" si="0"/>
        <v>-33.14399999999989</v>
      </c>
      <c r="I25" s="162">
        <v>700.56</v>
      </c>
      <c r="J25" s="162">
        <v>703.399</v>
      </c>
      <c r="K25" s="162">
        <f t="shared" si="1"/>
        <v>2.8390000000000555</v>
      </c>
      <c r="L25" s="162">
        <f t="shared" si="2"/>
        <v>1401.12</v>
      </c>
      <c r="M25" s="162">
        <f t="shared" si="3"/>
        <v>1370.815</v>
      </c>
      <c r="N25" s="162">
        <f t="shared" si="4"/>
        <v>-30.304999999999836</v>
      </c>
      <c r="O25" s="162">
        <v>700.56</v>
      </c>
      <c r="P25" s="162">
        <f>R25-M25</f>
        <v>634.607</v>
      </c>
      <c r="Q25" s="162">
        <f>L25+O25</f>
        <v>2101.68</v>
      </c>
      <c r="R25" s="162">
        <v>2005.422</v>
      </c>
      <c r="S25" s="162">
        <f aca="true" t="shared" si="21" ref="S25:S39">R25-Q25</f>
        <v>-96.25799999999981</v>
      </c>
      <c r="T25" s="162">
        <v>700.56</v>
      </c>
      <c r="U25" s="205">
        <v>656.813</v>
      </c>
      <c r="V25" s="162">
        <v>2640.04</v>
      </c>
      <c r="W25" s="162">
        <f t="shared" si="8"/>
        <v>2662.235</v>
      </c>
      <c r="X25" s="162">
        <f t="shared" si="9"/>
        <v>22.195000000000164</v>
      </c>
      <c r="Y25" s="162">
        <v>634.61</v>
      </c>
      <c r="Z25" s="162">
        <v>656.229</v>
      </c>
      <c r="AA25" s="162"/>
      <c r="AB25" s="162">
        <f t="shared" si="10"/>
        <v>3274.65</v>
      </c>
      <c r="AC25" s="162">
        <f t="shared" si="11"/>
        <v>3318.464</v>
      </c>
      <c r="AD25" s="162">
        <f t="shared" si="12"/>
        <v>43.81399999999985</v>
      </c>
      <c r="AE25" s="162">
        <v>634.61</v>
      </c>
      <c r="AF25" s="158">
        <v>9576.30394</v>
      </c>
      <c r="AG25" s="158">
        <v>3953.074</v>
      </c>
      <c r="AH25" s="167">
        <f t="shared" si="17"/>
        <v>41.27974659918741</v>
      </c>
      <c r="AI25" s="257"/>
    </row>
    <row r="26" spans="1:35" ht="15" customHeight="1" hidden="1">
      <c r="A26" s="198"/>
      <c r="B26" s="175"/>
      <c r="C26" s="176"/>
      <c r="D26" s="162"/>
      <c r="E26" s="158"/>
      <c r="F26" s="162">
        <v>530</v>
      </c>
      <c r="G26" s="162"/>
      <c r="H26" s="162">
        <f t="shared" si="0"/>
        <v>-530</v>
      </c>
      <c r="I26" s="162">
        <v>700</v>
      </c>
      <c r="J26" s="162"/>
      <c r="K26" s="162">
        <f t="shared" si="1"/>
        <v>-700</v>
      </c>
      <c r="L26" s="162">
        <f t="shared" si="2"/>
        <v>1230</v>
      </c>
      <c r="M26" s="162">
        <f t="shared" si="3"/>
        <v>0</v>
      </c>
      <c r="N26" s="162">
        <f t="shared" si="4"/>
        <v>-1230</v>
      </c>
      <c r="O26" s="162">
        <v>770</v>
      </c>
      <c r="P26" s="162"/>
      <c r="Q26" s="162">
        <f aca="true" t="shared" si="22" ref="Q26:Q88">L26+O26</f>
        <v>2000</v>
      </c>
      <c r="R26" s="162">
        <f aca="true" t="shared" si="23" ref="R26:R88">M26+P26</f>
        <v>0</v>
      </c>
      <c r="S26" s="162">
        <f t="shared" si="21"/>
        <v>-2000</v>
      </c>
      <c r="T26" s="162">
        <v>460</v>
      </c>
      <c r="U26" s="205"/>
      <c r="V26" s="162">
        <f>Q26+T26</f>
        <v>2460</v>
      </c>
      <c r="W26" s="162">
        <f t="shared" si="8"/>
        <v>0</v>
      </c>
      <c r="X26" s="162">
        <f t="shared" si="9"/>
        <v>-2460</v>
      </c>
      <c r="Y26" s="162">
        <v>460</v>
      </c>
      <c r="Z26" s="162"/>
      <c r="AA26" s="162"/>
      <c r="AB26" s="162">
        <f t="shared" si="10"/>
        <v>2920</v>
      </c>
      <c r="AC26" s="162">
        <f t="shared" si="11"/>
        <v>0</v>
      </c>
      <c r="AD26" s="162">
        <f t="shared" si="12"/>
        <v>-2920</v>
      </c>
      <c r="AE26" s="162">
        <v>420</v>
      </c>
      <c r="AF26" s="158"/>
      <c r="AG26" s="158">
        <v>420</v>
      </c>
      <c r="AH26" s="167" t="e">
        <f t="shared" si="17"/>
        <v>#DIV/0!</v>
      </c>
      <c r="AI26" s="257"/>
    </row>
    <row r="27" spans="1:35" ht="15.75">
      <c r="A27" s="198" t="s">
        <v>95</v>
      </c>
      <c r="B27" s="158" t="s">
        <v>281</v>
      </c>
      <c r="C27" s="176" t="s">
        <v>249</v>
      </c>
      <c r="D27" s="162">
        <v>11466</v>
      </c>
      <c r="E27" s="158">
        <v>11333</v>
      </c>
      <c r="F27" s="162">
        <f>F26*1.619</f>
        <v>858.07</v>
      </c>
      <c r="G27" s="162">
        <v>429.98</v>
      </c>
      <c r="H27" s="162">
        <f t="shared" si="0"/>
        <v>-428.09000000000003</v>
      </c>
      <c r="I27" s="162">
        <f>I26*1.619</f>
        <v>1133.3</v>
      </c>
      <c r="J27" s="162">
        <v>818.817</v>
      </c>
      <c r="K27" s="162">
        <f t="shared" si="1"/>
        <v>-314.48299999999995</v>
      </c>
      <c r="L27" s="162">
        <f t="shared" si="2"/>
        <v>1991.37</v>
      </c>
      <c r="M27" s="162">
        <f t="shared" si="3"/>
        <v>1248.797</v>
      </c>
      <c r="N27" s="162">
        <f t="shared" si="4"/>
        <v>-742.5729999999999</v>
      </c>
      <c r="O27" s="162">
        <f>O26*1.619</f>
        <v>1246.63</v>
      </c>
      <c r="P27" s="162">
        <v>1144.882</v>
      </c>
      <c r="Q27" s="162">
        <f t="shared" si="22"/>
        <v>3238</v>
      </c>
      <c r="R27" s="162">
        <f t="shared" si="23"/>
        <v>2393.679</v>
      </c>
      <c r="S27" s="162">
        <f t="shared" si="21"/>
        <v>-844.3209999999999</v>
      </c>
      <c r="T27" s="162">
        <f>T26*1.619</f>
        <v>744.74</v>
      </c>
      <c r="U27" s="205">
        <v>357.68</v>
      </c>
      <c r="V27" s="162">
        <v>3089.85</v>
      </c>
      <c r="W27" s="162">
        <f t="shared" si="8"/>
        <v>2751.359</v>
      </c>
      <c r="X27" s="162">
        <f t="shared" si="9"/>
        <v>-338.491</v>
      </c>
      <c r="Y27" s="162">
        <v>1619</v>
      </c>
      <c r="Z27" s="162">
        <v>6.964</v>
      </c>
      <c r="AA27" s="162"/>
      <c r="AB27" s="162">
        <f t="shared" si="10"/>
        <v>4708.85</v>
      </c>
      <c r="AC27" s="162">
        <f t="shared" si="11"/>
        <v>2758.323</v>
      </c>
      <c r="AD27" s="162">
        <f t="shared" si="12"/>
        <v>-1950.5270000000005</v>
      </c>
      <c r="AE27" s="162">
        <v>485.7</v>
      </c>
      <c r="AF27" s="158">
        <v>11333</v>
      </c>
      <c r="AG27" s="158">
        <v>3244.0229999999997</v>
      </c>
      <c r="AH27" s="167">
        <f t="shared" si="17"/>
        <v>28.624574252183887</v>
      </c>
      <c r="AI27" s="257"/>
    </row>
    <row r="28" spans="1:35" ht="15.75">
      <c r="A28" s="198" t="s">
        <v>96</v>
      </c>
      <c r="B28" s="158" t="s">
        <v>357</v>
      </c>
      <c r="C28" s="176" t="s">
        <v>249</v>
      </c>
      <c r="D28" s="162">
        <v>22258.019</v>
      </c>
      <c r="E28" s="158">
        <v>22886.514</v>
      </c>
      <c r="F28" s="162">
        <f>F29+F30+F31</f>
        <v>6237.111608000001</v>
      </c>
      <c r="G28" s="162">
        <v>4832.22</v>
      </c>
      <c r="H28" s="162">
        <f t="shared" si="0"/>
        <v>-1404.8916080000008</v>
      </c>
      <c r="I28" s="162">
        <f>I29+I30+I31</f>
        <v>6010.537418000001</v>
      </c>
      <c r="J28" s="162">
        <v>4988.825</v>
      </c>
      <c r="K28" s="162">
        <f t="shared" si="1"/>
        <v>-1021.712418000001</v>
      </c>
      <c r="L28" s="162">
        <f t="shared" si="2"/>
        <v>12247.649026000003</v>
      </c>
      <c r="M28" s="162">
        <f t="shared" si="3"/>
        <v>9821.045</v>
      </c>
      <c r="N28" s="162">
        <f t="shared" si="4"/>
        <v>-2426.6040260000027</v>
      </c>
      <c r="O28" s="162">
        <f>O29+O30+O31</f>
        <v>6397.793933</v>
      </c>
      <c r="P28" s="162">
        <v>3093.324</v>
      </c>
      <c r="Q28" s="162">
        <f t="shared" si="22"/>
        <v>18645.442959000004</v>
      </c>
      <c r="R28" s="162">
        <f t="shared" si="23"/>
        <v>12914.369</v>
      </c>
      <c r="S28" s="162">
        <f t="shared" si="21"/>
        <v>-5731.073959000003</v>
      </c>
      <c r="T28" s="162">
        <f>T29+T30+T31</f>
        <v>1868.6404879999998</v>
      </c>
      <c r="U28" s="205">
        <v>2945.391</v>
      </c>
      <c r="V28" s="162">
        <v>14783.01</v>
      </c>
      <c r="W28" s="162">
        <f t="shared" si="8"/>
        <v>15859.76</v>
      </c>
      <c r="X28" s="162">
        <f t="shared" si="9"/>
        <v>1076.75</v>
      </c>
      <c r="Y28" s="162">
        <f>Y29+Y30+Y31</f>
        <v>195.10228800000002</v>
      </c>
      <c r="Z28" s="162">
        <v>126.87</v>
      </c>
      <c r="AA28" s="162"/>
      <c r="AB28" s="162">
        <f t="shared" si="10"/>
        <v>14978.112288</v>
      </c>
      <c r="AC28" s="162">
        <f t="shared" si="11"/>
        <v>15986.630000000001</v>
      </c>
      <c r="AD28" s="162">
        <f t="shared" si="12"/>
        <v>1008.5177120000008</v>
      </c>
      <c r="AE28" s="162">
        <f>AE29+AE30+AE31</f>
        <v>151.301588</v>
      </c>
      <c r="AF28" s="158">
        <v>22886.514</v>
      </c>
      <c r="AG28" s="158">
        <v>16137.931588000001</v>
      </c>
      <c r="AH28" s="167">
        <f t="shared" si="17"/>
        <v>70.51284257620011</v>
      </c>
      <c r="AI28" s="257"/>
    </row>
    <row r="29" spans="1:35" s="178" customFormat="1" ht="15" customHeight="1" hidden="1">
      <c r="A29" s="180"/>
      <c r="B29" s="181" t="s">
        <v>0</v>
      </c>
      <c r="C29" s="182" t="s">
        <v>249</v>
      </c>
      <c r="D29" s="183"/>
      <c r="E29" s="181"/>
      <c r="F29" s="183">
        <f>'[2]Ком услуги'!D6</f>
        <v>6029.3802000000005</v>
      </c>
      <c r="G29" s="183"/>
      <c r="H29" s="162">
        <f t="shared" si="0"/>
        <v>-6029.3802000000005</v>
      </c>
      <c r="I29" s="183">
        <f>'[2]Ком услуги'!E6</f>
        <v>5859.0181</v>
      </c>
      <c r="J29" s="183"/>
      <c r="K29" s="162">
        <f t="shared" si="1"/>
        <v>-5859.0181</v>
      </c>
      <c r="L29" s="162">
        <f t="shared" si="2"/>
        <v>11888.3983</v>
      </c>
      <c r="M29" s="162">
        <f t="shared" si="3"/>
        <v>0</v>
      </c>
      <c r="N29" s="162">
        <f t="shared" si="4"/>
        <v>-11888.3983</v>
      </c>
      <c r="O29" s="183">
        <f>'[2]Ком услуги'!F6</f>
        <v>6158.773775</v>
      </c>
      <c r="P29" s="183"/>
      <c r="Q29" s="162">
        <f t="shared" si="22"/>
        <v>18047.172075000002</v>
      </c>
      <c r="R29" s="162">
        <f t="shared" si="23"/>
        <v>0</v>
      </c>
      <c r="S29" s="162">
        <f t="shared" si="21"/>
        <v>-18047.172075000002</v>
      </c>
      <c r="T29" s="183">
        <f>'[2]Ком услуги'!G6</f>
        <v>1557.5770499999999</v>
      </c>
      <c r="U29" s="208"/>
      <c r="V29" s="162">
        <f>Q29+T29</f>
        <v>19604.749125000002</v>
      </c>
      <c r="W29" s="162">
        <f t="shared" si="8"/>
        <v>0</v>
      </c>
      <c r="X29" s="162">
        <f t="shared" si="9"/>
        <v>-19604.749125000002</v>
      </c>
      <c r="Y29" s="183">
        <f>'[2]Ком услуги'!H6</f>
        <v>0</v>
      </c>
      <c r="Z29" s="183"/>
      <c r="AA29" s="183"/>
      <c r="AB29" s="162">
        <f t="shared" si="10"/>
        <v>19604.749125000002</v>
      </c>
      <c r="AC29" s="162">
        <f t="shared" si="11"/>
        <v>0</v>
      </c>
      <c r="AD29" s="162">
        <f t="shared" si="12"/>
        <v>-19604.749125000002</v>
      </c>
      <c r="AE29" s="183">
        <f>'[2]Ком услуги'!I6</f>
        <v>0</v>
      </c>
      <c r="AF29" s="181"/>
      <c r="AG29" s="181">
        <v>0</v>
      </c>
      <c r="AH29" s="167" t="e">
        <f t="shared" si="17"/>
        <v>#DIV/0!</v>
      </c>
      <c r="AI29" s="257"/>
    </row>
    <row r="30" spans="1:35" s="178" customFormat="1" ht="15" customHeight="1" hidden="1">
      <c r="A30" s="180"/>
      <c r="B30" s="181" t="s">
        <v>97</v>
      </c>
      <c r="C30" s="182" t="s">
        <v>249</v>
      </c>
      <c r="D30" s="183"/>
      <c r="E30" s="181"/>
      <c r="F30" s="183">
        <f>'[2]Ком услуги'!D11</f>
        <v>152.96923999999999</v>
      </c>
      <c r="G30" s="183"/>
      <c r="H30" s="162">
        <f t="shared" si="0"/>
        <v>-152.96923999999999</v>
      </c>
      <c r="I30" s="183">
        <f>'[2]Ком услуги'!E11</f>
        <v>96.75715</v>
      </c>
      <c r="J30" s="183"/>
      <c r="K30" s="162">
        <f t="shared" si="1"/>
        <v>-96.75715</v>
      </c>
      <c r="L30" s="162">
        <f t="shared" si="2"/>
        <v>249.72638999999998</v>
      </c>
      <c r="M30" s="162">
        <f t="shared" si="3"/>
        <v>0</v>
      </c>
      <c r="N30" s="162">
        <f t="shared" si="4"/>
        <v>-249.72638999999998</v>
      </c>
      <c r="O30" s="183">
        <f>'[2]Ком услуги'!F11</f>
        <v>184.25799</v>
      </c>
      <c r="P30" s="183"/>
      <c r="Q30" s="162">
        <f t="shared" si="22"/>
        <v>433.98438</v>
      </c>
      <c r="R30" s="162">
        <f t="shared" si="23"/>
        <v>0</v>
      </c>
      <c r="S30" s="162">
        <f t="shared" si="21"/>
        <v>-433.98438</v>
      </c>
      <c r="T30" s="183">
        <f>'[2]Ком услуги'!G11</f>
        <v>256.30127000000005</v>
      </c>
      <c r="U30" s="208"/>
      <c r="V30" s="162">
        <f>Q30+T30</f>
        <v>690.28565</v>
      </c>
      <c r="W30" s="162">
        <f t="shared" si="8"/>
        <v>0</v>
      </c>
      <c r="X30" s="162">
        <f t="shared" si="9"/>
        <v>-690.28565</v>
      </c>
      <c r="Y30" s="183">
        <f>'[2]Ком услуги'!H11</f>
        <v>140.34012</v>
      </c>
      <c r="Z30" s="183"/>
      <c r="AA30" s="183"/>
      <c r="AB30" s="162">
        <f t="shared" si="10"/>
        <v>830.6257700000001</v>
      </c>
      <c r="AC30" s="162">
        <f t="shared" si="11"/>
        <v>0</v>
      </c>
      <c r="AD30" s="162">
        <f t="shared" si="12"/>
        <v>-830.6257700000001</v>
      </c>
      <c r="AE30" s="183">
        <f>'[2]Ком услуги'!I11</f>
        <v>96.53942</v>
      </c>
      <c r="AF30" s="181"/>
      <c r="AG30" s="181">
        <v>96.53942</v>
      </c>
      <c r="AH30" s="167" t="e">
        <f t="shared" si="17"/>
        <v>#DIV/0!</v>
      </c>
      <c r="AI30" s="257"/>
    </row>
    <row r="31" spans="1:35" s="178" customFormat="1" ht="15" customHeight="1" hidden="1">
      <c r="A31" s="180"/>
      <c r="B31" s="181" t="s">
        <v>98</v>
      </c>
      <c r="C31" s="182" t="s">
        <v>249</v>
      </c>
      <c r="D31" s="183"/>
      <c r="E31" s="181"/>
      <c r="F31" s="183">
        <f>'[2]Ком услуги'!D33</f>
        <v>54.762167999999996</v>
      </c>
      <c r="G31" s="183"/>
      <c r="H31" s="162">
        <f t="shared" si="0"/>
        <v>-54.762167999999996</v>
      </c>
      <c r="I31" s="183">
        <f>'[2]Ком услуги'!E33</f>
        <v>54.762167999999996</v>
      </c>
      <c r="J31" s="183"/>
      <c r="K31" s="162">
        <f t="shared" si="1"/>
        <v>-54.762167999999996</v>
      </c>
      <c r="L31" s="162">
        <f t="shared" si="2"/>
        <v>109.52433599999999</v>
      </c>
      <c r="M31" s="162">
        <f t="shared" si="3"/>
        <v>0</v>
      </c>
      <c r="N31" s="162">
        <f t="shared" si="4"/>
        <v>-109.52433599999999</v>
      </c>
      <c r="O31" s="183">
        <f>'[2]Ком услуги'!F33</f>
        <v>54.762167999999996</v>
      </c>
      <c r="P31" s="183"/>
      <c r="Q31" s="162">
        <f t="shared" si="22"/>
        <v>164.28650399999998</v>
      </c>
      <c r="R31" s="162">
        <f t="shared" si="23"/>
        <v>0</v>
      </c>
      <c r="S31" s="162">
        <f t="shared" si="21"/>
        <v>-164.28650399999998</v>
      </c>
      <c r="T31" s="183">
        <f>'[2]Ком услуги'!G33</f>
        <v>54.762167999999996</v>
      </c>
      <c r="U31" s="208"/>
      <c r="V31" s="162">
        <f>Q31+T31</f>
        <v>219.04867199999998</v>
      </c>
      <c r="W31" s="162">
        <f t="shared" si="8"/>
        <v>0</v>
      </c>
      <c r="X31" s="162">
        <f t="shared" si="9"/>
        <v>-219.04867199999998</v>
      </c>
      <c r="Y31" s="183">
        <f>'[2]Ком услуги'!H33</f>
        <v>54.762167999999996</v>
      </c>
      <c r="Z31" s="183"/>
      <c r="AA31" s="183"/>
      <c r="AB31" s="162">
        <f t="shared" si="10"/>
        <v>273.81084</v>
      </c>
      <c r="AC31" s="162">
        <f t="shared" si="11"/>
        <v>0</v>
      </c>
      <c r="AD31" s="162">
        <f t="shared" si="12"/>
        <v>-273.81084</v>
      </c>
      <c r="AE31" s="183">
        <f>'[2]Ком услуги'!I33</f>
        <v>54.762167999999996</v>
      </c>
      <c r="AF31" s="181"/>
      <c r="AG31" s="181">
        <v>54.762167999999996</v>
      </c>
      <c r="AH31" s="167" t="e">
        <f t="shared" si="17"/>
        <v>#DIV/0!</v>
      </c>
      <c r="AI31" s="257"/>
    </row>
    <row r="32" spans="1:35" ht="15.75">
      <c r="A32" s="198" t="s">
        <v>99</v>
      </c>
      <c r="B32" s="158" t="s">
        <v>282</v>
      </c>
      <c r="C32" s="176" t="s">
        <v>249</v>
      </c>
      <c r="D32" s="162">
        <v>356.57976</v>
      </c>
      <c r="E32" s="158">
        <v>377.97454560000006</v>
      </c>
      <c r="F32" s="162">
        <v>26.1195</v>
      </c>
      <c r="G32" s="162">
        <v>26.12</v>
      </c>
      <c r="H32" s="162">
        <f t="shared" si="0"/>
        <v>0.0005000000000023874</v>
      </c>
      <c r="I32" s="162">
        <v>26.1195</v>
      </c>
      <c r="J32" s="162">
        <f>I32</f>
        <v>26.1195</v>
      </c>
      <c r="K32" s="162">
        <f t="shared" si="1"/>
        <v>0</v>
      </c>
      <c r="L32" s="162">
        <f t="shared" si="2"/>
        <v>52.239</v>
      </c>
      <c r="M32" s="162">
        <f t="shared" si="3"/>
        <v>52.2395</v>
      </c>
      <c r="N32" s="162">
        <f t="shared" si="4"/>
        <v>0.0005000000000023874</v>
      </c>
      <c r="O32" s="162">
        <v>26.1195</v>
      </c>
      <c r="P32" s="162">
        <v>26.119</v>
      </c>
      <c r="Q32" s="162">
        <f t="shared" si="22"/>
        <v>78.35849999999999</v>
      </c>
      <c r="R32" s="162">
        <f t="shared" si="23"/>
        <v>78.35849999999999</v>
      </c>
      <c r="S32" s="162">
        <f t="shared" si="21"/>
        <v>0</v>
      </c>
      <c r="T32" s="162">
        <v>26.1195</v>
      </c>
      <c r="U32" s="205">
        <v>26.12</v>
      </c>
      <c r="V32" s="162">
        <f>Q32+T32</f>
        <v>104.478</v>
      </c>
      <c r="W32" s="162">
        <f t="shared" si="8"/>
        <v>104.4785</v>
      </c>
      <c r="X32" s="162">
        <f t="shared" si="9"/>
        <v>0.0005000000000023874</v>
      </c>
      <c r="Y32" s="162">
        <v>26.1195</v>
      </c>
      <c r="Z32" s="162">
        <f>Y32</f>
        <v>26.1195</v>
      </c>
      <c r="AA32" s="162"/>
      <c r="AB32" s="162">
        <f t="shared" si="10"/>
        <v>130.5975</v>
      </c>
      <c r="AC32" s="162">
        <f t="shared" si="11"/>
        <v>130.59799999999998</v>
      </c>
      <c r="AD32" s="162">
        <f t="shared" si="12"/>
        <v>0.0004999999999881766</v>
      </c>
      <c r="AE32" s="162">
        <v>26.1195</v>
      </c>
      <c r="AF32" s="158">
        <v>377.97454560000006</v>
      </c>
      <c r="AG32" s="158">
        <v>156.71749999999997</v>
      </c>
      <c r="AH32" s="167">
        <f t="shared" si="17"/>
        <v>41.462448152751996</v>
      </c>
      <c r="AI32" s="257"/>
    </row>
    <row r="33" spans="1:35" ht="15.75">
      <c r="A33" s="198" t="s">
        <v>100</v>
      </c>
      <c r="B33" s="158" t="s">
        <v>283</v>
      </c>
      <c r="C33" s="176" t="s">
        <v>249</v>
      </c>
      <c r="D33" s="162">
        <v>65.826</v>
      </c>
      <c r="E33" s="158">
        <v>69.77556</v>
      </c>
      <c r="F33" s="162"/>
      <c r="G33" s="162"/>
      <c r="H33" s="162">
        <f t="shared" si="0"/>
        <v>0</v>
      </c>
      <c r="I33" s="162"/>
      <c r="J33" s="162"/>
      <c r="K33" s="162">
        <f t="shared" si="1"/>
        <v>0</v>
      </c>
      <c r="L33" s="162">
        <f t="shared" si="2"/>
        <v>0</v>
      </c>
      <c r="M33" s="162">
        <f t="shared" si="3"/>
        <v>0</v>
      </c>
      <c r="N33" s="162">
        <f t="shared" si="4"/>
        <v>0</v>
      </c>
      <c r="O33" s="162">
        <v>23.26</v>
      </c>
      <c r="P33" s="162"/>
      <c r="Q33" s="162">
        <f t="shared" si="22"/>
        <v>23.26</v>
      </c>
      <c r="R33" s="162">
        <f t="shared" si="23"/>
        <v>0</v>
      </c>
      <c r="S33" s="162">
        <f t="shared" si="21"/>
        <v>-23.26</v>
      </c>
      <c r="T33" s="162"/>
      <c r="U33" s="205"/>
      <c r="V33" s="162"/>
      <c r="W33" s="162">
        <f t="shared" si="8"/>
        <v>0</v>
      </c>
      <c r="X33" s="162">
        <f t="shared" si="9"/>
        <v>0</v>
      </c>
      <c r="Y33" s="162"/>
      <c r="Z33" s="162"/>
      <c r="AA33" s="162"/>
      <c r="AB33" s="162">
        <f t="shared" si="10"/>
        <v>0</v>
      </c>
      <c r="AC33" s="162">
        <f t="shared" si="11"/>
        <v>0</v>
      </c>
      <c r="AD33" s="162">
        <f t="shared" si="12"/>
        <v>0</v>
      </c>
      <c r="AE33" s="162"/>
      <c r="AF33" s="158">
        <v>69.77556</v>
      </c>
      <c r="AG33" s="158">
        <v>0</v>
      </c>
      <c r="AH33" s="167">
        <f t="shared" si="17"/>
        <v>0</v>
      </c>
      <c r="AI33" s="257"/>
    </row>
    <row r="34" spans="1:35" ht="15.75">
      <c r="A34" s="198" t="s">
        <v>101</v>
      </c>
      <c r="B34" s="158" t="s">
        <v>284</v>
      </c>
      <c r="C34" s="176" t="s">
        <v>249</v>
      </c>
      <c r="D34" s="162">
        <v>123.03</v>
      </c>
      <c r="E34" s="158">
        <v>130.4118</v>
      </c>
      <c r="F34" s="162"/>
      <c r="G34" s="162"/>
      <c r="H34" s="162">
        <f t="shared" si="0"/>
        <v>0</v>
      </c>
      <c r="I34" s="162"/>
      <c r="J34" s="162"/>
      <c r="K34" s="162">
        <f t="shared" si="1"/>
        <v>0</v>
      </c>
      <c r="L34" s="162">
        <f t="shared" si="2"/>
        <v>0</v>
      </c>
      <c r="M34" s="162">
        <f t="shared" si="3"/>
        <v>0</v>
      </c>
      <c r="N34" s="162">
        <f t="shared" si="4"/>
        <v>0</v>
      </c>
      <c r="O34" s="162"/>
      <c r="P34" s="162"/>
      <c r="Q34" s="162">
        <f t="shared" si="22"/>
        <v>0</v>
      </c>
      <c r="R34" s="162">
        <f t="shared" si="23"/>
        <v>0</v>
      </c>
      <c r="S34" s="162">
        <f t="shared" si="21"/>
        <v>0</v>
      </c>
      <c r="T34" s="162"/>
      <c r="U34" s="205"/>
      <c r="V34" s="162">
        <f>Q34+T34</f>
        <v>0</v>
      </c>
      <c r="W34" s="162">
        <f t="shared" si="8"/>
        <v>0</v>
      </c>
      <c r="X34" s="162">
        <f t="shared" si="9"/>
        <v>0</v>
      </c>
      <c r="Y34" s="162">
        <v>130</v>
      </c>
      <c r="Z34" s="162"/>
      <c r="AA34" s="162"/>
      <c r="AB34" s="162">
        <f t="shared" si="10"/>
        <v>130</v>
      </c>
      <c r="AC34" s="162">
        <f t="shared" si="11"/>
        <v>0</v>
      </c>
      <c r="AD34" s="162">
        <f t="shared" si="12"/>
        <v>-130</v>
      </c>
      <c r="AE34" s="162"/>
      <c r="AF34" s="158">
        <v>130.4118</v>
      </c>
      <c r="AG34" s="158">
        <v>0</v>
      </c>
      <c r="AH34" s="167">
        <f t="shared" si="17"/>
        <v>0</v>
      </c>
      <c r="AI34" s="257"/>
    </row>
    <row r="35" spans="1:35" ht="15.75">
      <c r="A35" s="198" t="s">
        <v>102</v>
      </c>
      <c r="B35" s="158" t="s">
        <v>328</v>
      </c>
      <c r="C35" s="176" t="s">
        <v>249</v>
      </c>
      <c r="D35" s="162">
        <v>184.553</v>
      </c>
      <c r="E35" s="158">
        <v>195.62618</v>
      </c>
      <c r="F35" s="162"/>
      <c r="G35" s="162"/>
      <c r="H35" s="162">
        <f t="shared" si="0"/>
        <v>0</v>
      </c>
      <c r="I35" s="162"/>
      <c r="J35" s="162"/>
      <c r="K35" s="162">
        <f t="shared" si="1"/>
        <v>0</v>
      </c>
      <c r="L35" s="162">
        <f t="shared" si="2"/>
        <v>0</v>
      </c>
      <c r="M35" s="162">
        <f t="shared" si="3"/>
        <v>0</v>
      </c>
      <c r="N35" s="162">
        <f t="shared" si="4"/>
        <v>0</v>
      </c>
      <c r="O35" s="162"/>
      <c r="P35" s="162"/>
      <c r="Q35" s="162">
        <f t="shared" si="22"/>
        <v>0</v>
      </c>
      <c r="R35" s="162">
        <f t="shared" si="23"/>
        <v>0</v>
      </c>
      <c r="S35" s="162">
        <f t="shared" si="21"/>
        <v>0</v>
      </c>
      <c r="T35" s="162"/>
      <c r="U35" s="205"/>
      <c r="V35" s="162">
        <f>Q35+T35</f>
        <v>0</v>
      </c>
      <c r="W35" s="162">
        <f t="shared" si="8"/>
        <v>0</v>
      </c>
      <c r="X35" s="162">
        <f t="shared" si="9"/>
        <v>0</v>
      </c>
      <c r="Y35" s="162"/>
      <c r="Z35" s="162"/>
      <c r="AA35" s="162"/>
      <c r="AB35" s="162">
        <f t="shared" si="10"/>
        <v>0</v>
      </c>
      <c r="AC35" s="162">
        <f t="shared" si="11"/>
        <v>0</v>
      </c>
      <c r="AD35" s="162">
        <f t="shared" si="12"/>
        <v>0</v>
      </c>
      <c r="AE35" s="162"/>
      <c r="AF35" s="158">
        <v>195.62618</v>
      </c>
      <c r="AG35" s="158">
        <v>0</v>
      </c>
      <c r="AH35" s="167">
        <f t="shared" si="17"/>
        <v>0</v>
      </c>
      <c r="AI35" s="257"/>
    </row>
    <row r="36" spans="1:35" ht="15.75">
      <c r="A36" s="198" t="s">
        <v>103</v>
      </c>
      <c r="B36" s="158" t="s">
        <v>329</v>
      </c>
      <c r="C36" s="176" t="s">
        <v>249</v>
      </c>
      <c r="D36" s="162">
        <v>954</v>
      </c>
      <c r="E36" s="158">
        <v>1011.24</v>
      </c>
      <c r="F36" s="162">
        <v>141.8</v>
      </c>
      <c r="G36" s="162">
        <v>141.8</v>
      </c>
      <c r="H36" s="162">
        <f t="shared" si="0"/>
        <v>0</v>
      </c>
      <c r="I36" s="162">
        <v>141.8</v>
      </c>
      <c r="J36" s="162">
        <v>141.8</v>
      </c>
      <c r="K36" s="162">
        <f t="shared" si="1"/>
        <v>0</v>
      </c>
      <c r="L36" s="162">
        <f t="shared" si="2"/>
        <v>283.6</v>
      </c>
      <c r="M36" s="162">
        <f t="shared" si="3"/>
        <v>283.6</v>
      </c>
      <c r="N36" s="162">
        <f t="shared" si="4"/>
        <v>0</v>
      </c>
      <c r="O36" s="162">
        <v>141.8</v>
      </c>
      <c r="P36" s="162">
        <v>141.8</v>
      </c>
      <c r="Q36" s="162">
        <f t="shared" si="22"/>
        <v>425.40000000000003</v>
      </c>
      <c r="R36" s="162">
        <f t="shared" si="23"/>
        <v>425.40000000000003</v>
      </c>
      <c r="S36" s="162">
        <f t="shared" si="21"/>
        <v>0</v>
      </c>
      <c r="T36" s="162">
        <v>141.8</v>
      </c>
      <c r="U36" s="205">
        <v>141.8</v>
      </c>
      <c r="V36" s="162">
        <f>Q36+T36</f>
        <v>567.2</v>
      </c>
      <c r="W36" s="162">
        <f t="shared" si="8"/>
        <v>567.2</v>
      </c>
      <c r="X36" s="162">
        <f t="shared" si="9"/>
        <v>0</v>
      </c>
      <c r="Y36" s="162">
        <v>141.8</v>
      </c>
      <c r="Z36" s="162">
        <v>141.8</v>
      </c>
      <c r="AA36" s="162"/>
      <c r="AB36" s="162">
        <f t="shared" si="10"/>
        <v>709</v>
      </c>
      <c r="AC36" s="162">
        <f t="shared" si="11"/>
        <v>709</v>
      </c>
      <c r="AD36" s="162">
        <f t="shared" si="12"/>
        <v>0</v>
      </c>
      <c r="AE36" s="162">
        <v>141.8</v>
      </c>
      <c r="AF36" s="158">
        <v>1011.24</v>
      </c>
      <c r="AG36" s="158">
        <v>850.8</v>
      </c>
      <c r="AH36" s="167">
        <f t="shared" si="17"/>
        <v>84.13433012934615</v>
      </c>
      <c r="AI36" s="257"/>
    </row>
    <row r="37" spans="1:35" ht="15.75">
      <c r="A37" s="198" t="s">
        <v>104</v>
      </c>
      <c r="B37" s="158" t="s">
        <v>198</v>
      </c>
      <c r="C37" s="176" t="s">
        <v>249</v>
      </c>
      <c r="D37" s="162">
        <v>1115.544</v>
      </c>
      <c r="E37" s="158">
        <v>1265.174</v>
      </c>
      <c r="F37" s="162">
        <v>334.49</v>
      </c>
      <c r="G37" s="162">
        <v>48.43</v>
      </c>
      <c r="H37" s="162">
        <f t="shared" si="0"/>
        <v>-286.06</v>
      </c>
      <c r="I37" s="162">
        <v>324.404</v>
      </c>
      <c r="J37" s="162">
        <v>319.168</v>
      </c>
      <c r="K37" s="162">
        <f t="shared" si="1"/>
        <v>-5.23599999999999</v>
      </c>
      <c r="L37" s="162">
        <f t="shared" si="2"/>
        <v>658.894</v>
      </c>
      <c r="M37" s="162">
        <f t="shared" si="3"/>
        <v>367.598</v>
      </c>
      <c r="N37" s="162">
        <f t="shared" si="4"/>
        <v>-291.296</v>
      </c>
      <c r="O37" s="162">
        <v>324.404</v>
      </c>
      <c r="P37" s="162">
        <v>851.026</v>
      </c>
      <c r="Q37" s="162">
        <f t="shared" si="22"/>
        <v>983.298</v>
      </c>
      <c r="R37" s="162">
        <f t="shared" si="23"/>
        <v>1218.624</v>
      </c>
      <c r="S37" s="162">
        <f t="shared" si="21"/>
        <v>235.32600000000002</v>
      </c>
      <c r="T37" s="162">
        <v>324.404</v>
      </c>
      <c r="U37" s="205">
        <v>192.275</v>
      </c>
      <c r="V37" s="162">
        <v>1618.63</v>
      </c>
      <c r="W37" s="162">
        <f t="shared" si="8"/>
        <v>1410.8990000000001</v>
      </c>
      <c r="X37" s="162">
        <f t="shared" si="9"/>
        <v>-207.731</v>
      </c>
      <c r="Y37" s="162">
        <v>400</v>
      </c>
      <c r="Z37" s="162">
        <v>770.37</v>
      </c>
      <c r="AA37" s="162"/>
      <c r="AB37" s="162">
        <f t="shared" si="10"/>
        <v>2018.63</v>
      </c>
      <c r="AC37" s="162">
        <f t="shared" si="11"/>
        <v>2181.2690000000002</v>
      </c>
      <c r="AD37" s="162">
        <f t="shared" si="12"/>
        <v>162.63900000000012</v>
      </c>
      <c r="AE37" s="162">
        <v>400</v>
      </c>
      <c r="AF37" s="158">
        <v>1265.174</v>
      </c>
      <c r="AG37" s="158">
        <v>2581.2690000000002</v>
      </c>
      <c r="AH37" s="167">
        <f t="shared" si="17"/>
        <v>204.0248218822075</v>
      </c>
      <c r="AI37" s="257"/>
    </row>
    <row r="38" spans="1:35" ht="15.75">
      <c r="A38" s="198" t="s">
        <v>105</v>
      </c>
      <c r="B38" s="158" t="s">
        <v>374</v>
      </c>
      <c r="C38" s="176" t="s">
        <v>249</v>
      </c>
      <c r="D38" s="162">
        <v>2538.15</v>
      </c>
      <c r="E38" s="158">
        <v>3192.46</v>
      </c>
      <c r="F38" s="162">
        <v>404.45146190839284</v>
      </c>
      <c r="G38" s="162">
        <f>319.23+2</f>
        <v>321.23</v>
      </c>
      <c r="H38" s="162">
        <f t="shared" si="0"/>
        <v>-83.22146190839283</v>
      </c>
      <c r="I38" s="162">
        <v>657.3121363317857</v>
      </c>
      <c r="J38" s="162">
        <v>380.575</v>
      </c>
      <c r="K38" s="162">
        <f t="shared" si="1"/>
        <v>-276.73713633178573</v>
      </c>
      <c r="L38" s="162">
        <f t="shared" si="2"/>
        <v>1061.7635982401785</v>
      </c>
      <c r="M38" s="162">
        <f t="shared" si="3"/>
        <v>701.8050000000001</v>
      </c>
      <c r="N38" s="162">
        <f t="shared" si="4"/>
        <v>-359.9585982401784</v>
      </c>
      <c r="O38" s="162">
        <v>421.40500341000006</v>
      </c>
      <c r="P38" s="162">
        <v>353.289</v>
      </c>
      <c r="Q38" s="162">
        <f t="shared" si="22"/>
        <v>1483.1686016501785</v>
      </c>
      <c r="R38" s="162">
        <f t="shared" si="23"/>
        <v>1055.094</v>
      </c>
      <c r="S38" s="162">
        <f t="shared" si="21"/>
        <v>-428.07460165017847</v>
      </c>
      <c r="T38" s="162">
        <v>768.5287059514286</v>
      </c>
      <c r="U38" s="205">
        <v>624.486</v>
      </c>
      <c r="V38" s="162">
        <v>1679.59</v>
      </c>
      <c r="W38" s="162">
        <f t="shared" si="8"/>
        <v>1679.58</v>
      </c>
      <c r="X38" s="162">
        <f t="shared" si="9"/>
        <v>-0.009999999999990905</v>
      </c>
      <c r="Y38" s="162">
        <v>215.12</v>
      </c>
      <c r="Z38" s="162">
        <v>216.741</v>
      </c>
      <c r="AA38" s="162"/>
      <c r="AB38" s="162">
        <f t="shared" si="10"/>
        <v>1894.71</v>
      </c>
      <c r="AC38" s="162">
        <f t="shared" si="11"/>
        <v>1896.321</v>
      </c>
      <c r="AD38" s="162">
        <f t="shared" si="12"/>
        <v>1.6109999999998763</v>
      </c>
      <c r="AE38" s="162">
        <v>66.84</v>
      </c>
      <c r="AF38" s="158">
        <v>3192.46</v>
      </c>
      <c r="AG38" s="158">
        <v>1963.1609999999998</v>
      </c>
      <c r="AH38" s="167">
        <f t="shared" si="17"/>
        <v>61.493675723423316</v>
      </c>
      <c r="AI38" s="257"/>
    </row>
    <row r="39" spans="1:35" ht="15.75">
      <c r="A39" s="198" t="s">
        <v>106</v>
      </c>
      <c r="B39" s="184" t="s">
        <v>375</v>
      </c>
      <c r="C39" s="176" t="s">
        <v>249</v>
      </c>
      <c r="D39" s="162">
        <v>848</v>
      </c>
      <c r="E39" s="158">
        <v>898.88</v>
      </c>
      <c r="F39" s="162"/>
      <c r="G39" s="162"/>
      <c r="H39" s="162">
        <f t="shared" si="0"/>
        <v>0</v>
      </c>
      <c r="I39" s="162"/>
      <c r="J39" s="162"/>
      <c r="K39" s="162">
        <f t="shared" si="1"/>
        <v>0</v>
      </c>
      <c r="L39" s="162">
        <f t="shared" si="2"/>
        <v>0</v>
      </c>
      <c r="M39" s="162">
        <f t="shared" si="3"/>
        <v>0</v>
      </c>
      <c r="N39" s="162">
        <f t="shared" si="4"/>
        <v>0</v>
      </c>
      <c r="O39" s="162"/>
      <c r="P39" s="162"/>
      <c r="Q39" s="162">
        <f t="shared" si="22"/>
        <v>0</v>
      </c>
      <c r="R39" s="162">
        <f t="shared" si="23"/>
        <v>0</v>
      </c>
      <c r="S39" s="162">
        <f t="shared" si="21"/>
        <v>0</v>
      </c>
      <c r="T39" s="162"/>
      <c r="U39" s="205"/>
      <c r="V39" s="162">
        <f>Q39+T39</f>
        <v>0</v>
      </c>
      <c r="W39" s="162">
        <f t="shared" si="8"/>
        <v>0</v>
      </c>
      <c r="X39" s="162">
        <f t="shared" si="9"/>
        <v>0</v>
      </c>
      <c r="Y39" s="162">
        <v>3267.86</v>
      </c>
      <c r="Z39" s="162"/>
      <c r="AA39" s="162"/>
      <c r="AB39" s="162">
        <f t="shared" si="10"/>
        <v>3267.86</v>
      </c>
      <c r="AC39" s="162">
        <f t="shared" si="11"/>
        <v>0</v>
      </c>
      <c r="AD39" s="162">
        <f t="shared" si="12"/>
        <v>-3267.86</v>
      </c>
      <c r="AE39" s="162"/>
      <c r="AF39" s="158">
        <v>898.88</v>
      </c>
      <c r="AG39" s="158">
        <v>0</v>
      </c>
      <c r="AH39" s="167">
        <f t="shared" si="17"/>
        <v>0</v>
      </c>
      <c r="AI39" s="257"/>
    </row>
    <row r="40" spans="1:35" s="154" customFormat="1" ht="15.75">
      <c r="A40" s="171" t="s">
        <v>340</v>
      </c>
      <c r="B40" s="185" t="s">
        <v>55</v>
      </c>
      <c r="C40" s="176" t="s">
        <v>249</v>
      </c>
      <c r="D40" s="161">
        <f>1873.93+4946.4</f>
        <v>6820.33</v>
      </c>
      <c r="E40" s="161">
        <v>7229.549800000001</v>
      </c>
      <c r="F40" s="161">
        <f>SUM(F42:F45)</f>
        <v>878.731</v>
      </c>
      <c r="G40" s="161">
        <f>SUM(G42:G45)</f>
        <v>743.7280000000001</v>
      </c>
      <c r="H40" s="161">
        <f>SUM(H42:H45)</f>
        <v>-135.003</v>
      </c>
      <c r="I40" s="161">
        <f aca="true" t="shared" si="24" ref="I40:AD40">SUM(I42:I45)</f>
        <v>878.731</v>
      </c>
      <c r="J40" s="161">
        <f t="shared" si="24"/>
        <v>743.73</v>
      </c>
      <c r="K40" s="161">
        <f t="shared" si="24"/>
        <v>-135.00099999999998</v>
      </c>
      <c r="L40" s="161">
        <f t="shared" si="24"/>
        <v>1757.462</v>
      </c>
      <c r="M40" s="161">
        <f t="shared" si="24"/>
        <v>1487.458</v>
      </c>
      <c r="N40" s="161">
        <f t="shared" si="24"/>
        <v>-270.0039999999999</v>
      </c>
      <c r="O40" s="161">
        <f t="shared" si="24"/>
        <v>878.731</v>
      </c>
      <c r="P40" s="161">
        <f t="shared" si="24"/>
        <v>743.73</v>
      </c>
      <c r="Q40" s="162">
        <f t="shared" si="22"/>
        <v>2636.193</v>
      </c>
      <c r="R40" s="162">
        <f t="shared" si="23"/>
        <v>2231.188</v>
      </c>
      <c r="S40" s="161">
        <f>SUM(S42:S45)</f>
        <v>-405.0049999999999</v>
      </c>
      <c r="T40" s="161">
        <f t="shared" si="24"/>
        <v>878.731</v>
      </c>
      <c r="U40" s="204">
        <f t="shared" si="24"/>
        <v>743.73</v>
      </c>
      <c r="V40" s="161">
        <v>2974.94</v>
      </c>
      <c r="W40" s="161">
        <f t="shared" si="24"/>
        <v>2974.9179999999997</v>
      </c>
      <c r="X40" s="161">
        <f t="shared" si="24"/>
        <v>-0.012000000000227828</v>
      </c>
      <c r="Y40" s="161">
        <f t="shared" si="24"/>
        <v>743.7350000000001</v>
      </c>
      <c r="Z40" s="161">
        <f>Y40</f>
        <v>743.7350000000001</v>
      </c>
      <c r="AA40" s="161">
        <f t="shared" si="24"/>
        <v>0</v>
      </c>
      <c r="AB40" s="161">
        <f t="shared" si="24"/>
        <v>3718.665</v>
      </c>
      <c r="AC40" s="161">
        <f t="shared" si="24"/>
        <v>2974.9179999999997</v>
      </c>
      <c r="AD40" s="161">
        <f t="shared" si="24"/>
        <v>-743.7470000000003</v>
      </c>
      <c r="AE40" s="161">
        <f>AE42+AE43+AE45</f>
        <v>743.7350000000001</v>
      </c>
      <c r="AF40" s="161">
        <v>7229.549800000001</v>
      </c>
      <c r="AG40" s="161">
        <v>3718.653</v>
      </c>
      <c r="AH40" s="164">
        <f t="shared" si="17"/>
        <v>51.43685433911804</v>
      </c>
      <c r="AI40" s="257"/>
    </row>
    <row r="41" spans="1:35" ht="15" customHeight="1" hidden="1">
      <c r="A41" s="198"/>
      <c r="B41" s="158" t="s">
        <v>250</v>
      </c>
      <c r="C41" s="176" t="s">
        <v>249</v>
      </c>
      <c r="D41" s="162"/>
      <c r="E41" s="158"/>
      <c r="F41" s="162"/>
      <c r="G41" s="162"/>
      <c r="H41" s="162">
        <f t="shared" si="0"/>
        <v>0</v>
      </c>
      <c r="I41" s="162"/>
      <c r="J41" s="162"/>
      <c r="K41" s="162">
        <f t="shared" si="1"/>
        <v>0</v>
      </c>
      <c r="L41" s="162">
        <f t="shared" si="2"/>
        <v>0</v>
      </c>
      <c r="M41" s="162">
        <f t="shared" si="3"/>
        <v>0</v>
      </c>
      <c r="N41" s="162">
        <f t="shared" si="4"/>
        <v>0</v>
      </c>
      <c r="O41" s="162"/>
      <c r="P41" s="162"/>
      <c r="Q41" s="162">
        <f t="shared" si="22"/>
        <v>0</v>
      </c>
      <c r="R41" s="162">
        <f t="shared" si="23"/>
        <v>0</v>
      </c>
      <c r="S41" s="162">
        <f>R41-Q41</f>
        <v>0</v>
      </c>
      <c r="T41" s="162"/>
      <c r="U41" s="205"/>
      <c r="V41" s="162">
        <f>Q41+T41</f>
        <v>0</v>
      </c>
      <c r="W41" s="162">
        <f t="shared" si="8"/>
        <v>0</v>
      </c>
      <c r="X41" s="162">
        <f t="shared" si="9"/>
        <v>0</v>
      </c>
      <c r="Y41" s="162"/>
      <c r="Z41" s="162"/>
      <c r="AA41" s="162"/>
      <c r="AB41" s="162">
        <f t="shared" si="10"/>
        <v>0</v>
      </c>
      <c r="AC41" s="162">
        <f t="shared" si="11"/>
        <v>0</v>
      </c>
      <c r="AD41" s="162">
        <f t="shared" si="12"/>
        <v>0</v>
      </c>
      <c r="AE41" s="162"/>
      <c r="AF41" s="158"/>
      <c r="AG41" s="158">
        <v>0</v>
      </c>
      <c r="AH41" s="164" t="e">
        <f t="shared" si="17"/>
        <v>#DIV/0!</v>
      </c>
      <c r="AI41" s="257"/>
    </row>
    <row r="42" spans="1:35" ht="15" customHeight="1" hidden="1">
      <c r="A42" s="198" t="s">
        <v>378</v>
      </c>
      <c r="B42" s="186" t="s">
        <v>107</v>
      </c>
      <c r="C42" s="176" t="s">
        <v>249</v>
      </c>
      <c r="D42" s="162"/>
      <c r="E42" s="158"/>
      <c r="F42" s="162">
        <v>367.052</v>
      </c>
      <c r="G42" s="162">
        <v>367.05</v>
      </c>
      <c r="H42" s="162">
        <f t="shared" si="0"/>
        <v>-0.0020000000000095497</v>
      </c>
      <c r="I42" s="162">
        <v>367.052</v>
      </c>
      <c r="J42" s="162">
        <v>367.052</v>
      </c>
      <c r="K42" s="162">
        <f t="shared" si="1"/>
        <v>0</v>
      </c>
      <c r="L42" s="162">
        <f t="shared" si="2"/>
        <v>734.104</v>
      </c>
      <c r="M42" s="162">
        <f t="shared" si="3"/>
        <v>734.1020000000001</v>
      </c>
      <c r="N42" s="162">
        <f t="shared" si="4"/>
        <v>-0.0019999999999527063</v>
      </c>
      <c r="O42" s="162">
        <v>367.052</v>
      </c>
      <c r="P42" s="162">
        <f>J42</f>
        <v>367.052</v>
      </c>
      <c r="Q42" s="162">
        <f t="shared" si="22"/>
        <v>1101.156</v>
      </c>
      <c r="R42" s="162">
        <f t="shared" si="23"/>
        <v>1101.154</v>
      </c>
      <c r="S42" s="162">
        <f>R42-Q42</f>
        <v>-0.0019999999999527063</v>
      </c>
      <c r="T42" s="162">
        <v>367.052</v>
      </c>
      <c r="U42" s="205">
        <v>367.05</v>
      </c>
      <c r="V42" s="162">
        <f>Q42+T42</f>
        <v>1468.208</v>
      </c>
      <c r="W42" s="162">
        <f t="shared" si="8"/>
        <v>1468.204</v>
      </c>
      <c r="X42" s="162">
        <f t="shared" si="9"/>
        <v>-0.004000000000132786</v>
      </c>
      <c r="Y42" s="162">
        <v>367.052</v>
      </c>
      <c r="Z42" s="162"/>
      <c r="AA42" s="162"/>
      <c r="AB42" s="162">
        <f t="shared" si="10"/>
        <v>1835.2600000000002</v>
      </c>
      <c r="AC42" s="162">
        <f t="shared" si="11"/>
        <v>1468.204</v>
      </c>
      <c r="AD42" s="162">
        <f t="shared" si="12"/>
        <v>-367.05600000000027</v>
      </c>
      <c r="AE42" s="162">
        <v>367.052</v>
      </c>
      <c r="AF42" s="158"/>
      <c r="AG42" s="158">
        <v>1835.2559999999999</v>
      </c>
      <c r="AH42" s="164" t="e">
        <f t="shared" si="17"/>
        <v>#DIV/0!</v>
      </c>
      <c r="AI42" s="257"/>
    </row>
    <row r="43" spans="1:35" ht="15" customHeight="1" hidden="1">
      <c r="A43" s="198" t="s">
        <v>108</v>
      </c>
      <c r="B43" s="186" t="s">
        <v>109</v>
      </c>
      <c r="C43" s="176" t="s">
        <v>249</v>
      </c>
      <c r="D43" s="162"/>
      <c r="E43" s="158"/>
      <c r="F43" s="162">
        <v>34.893</v>
      </c>
      <c r="G43" s="162">
        <v>34.893</v>
      </c>
      <c r="H43" s="162">
        <f t="shared" si="0"/>
        <v>0</v>
      </c>
      <c r="I43" s="162">
        <v>34.893</v>
      </c>
      <c r="J43" s="162">
        <v>34.893</v>
      </c>
      <c r="K43" s="162">
        <f t="shared" si="1"/>
        <v>0</v>
      </c>
      <c r="L43" s="162">
        <f t="shared" si="2"/>
        <v>69.786</v>
      </c>
      <c r="M43" s="162">
        <f t="shared" si="3"/>
        <v>69.786</v>
      </c>
      <c r="N43" s="162">
        <f t="shared" si="4"/>
        <v>0</v>
      </c>
      <c r="O43" s="162">
        <v>34.893</v>
      </c>
      <c r="P43" s="162">
        <f>J43</f>
        <v>34.893</v>
      </c>
      <c r="Q43" s="162">
        <f t="shared" si="22"/>
        <v>104.679</v>
      </c>
      <c r="R43" s="162">
        <f t="shared" si="23"/>
        <v>104.679</v>
      </c>
      <c r="S43" s="162">
        <f>R43-Q43</f>
        <v>0</v>
      </c>
      <c r="T43" s="162">
        <v>34.893</v>
      </c>
      <c r="U43" s="205">
        <v>34.89</v>
      </c>
      <c r="V43" s="162">
        <f>Q43+T43</f>
        <v>139.572</v>
      </c>
      <c r="W43" s="162">
        <f t="shared" si="8"/>
        <v>139.56900000000002</v>
      </c>
      <c r="X43" s="162">
        <f t="shared" si="9"/>
        <v>-0.002999999999985903</v>
      </c>
      <c r="Y43" s="162">
        <v>34.893</v>
      </c>
      <c r="Z43" s="162"/>
      <c r="AA43" s="162"/>
      <c r="AB43" s="162">
        <f t="shared" si="10"/>
        <v>174.465</v>
      </c>
      <c r="AC43" s="162">
        <f t="shared" si="11"/>
        <v>139.56900000000002</v>
      </c>
      <c r="AD43" s="162">
        <f t="shared" si="12"/>
        <v>-34.89599999999999</v>
      </c>
      <c r="AE43" s="162">
        <v>34.893</v>
      </c>
      <c r="AF43" s="158"/>
      <c r="AG43" s="158">
        <v>174.46200000000002</v>
      </c>
      <c r="AH43" s="164" t="e">
        <f t="shared" si="17"/>
        <v>#DIV/0!</v>
      </c>
      <c r="AI43" s="257"/>
    </row>
    <row r="44" spans="1:35" ht="15" customHeight="1" hidden="1">
      <c r="A44" s="198"/>
      <c r="B44" s="186" t="s">
        <v>110</v>
      </c>
      <c r="C44" s="176" t="s">
        <v>249</v>
      </c>
      <c r="D44" s="162"/>
      <c r="E44" s="158"/>
      <c r="F44" s="162"/>
      <c r="G44" s="162"/>
      <c r="H44" s="162">
        <f t="shared" si="0"/>
        <v>0</v>
      </c>
      <c r="I44" s="162"/>
      <c r="J44" s="162"/>
      <c r="K44" s="162">
        <f t="shared" si="1"/>
        <v>0</v>
      </c>
      <c r="L44" s="162">
        <f t="shared" si="2"/>
        <v>0</v>
      </c>
      <c r="M44" s="162">
        <f t="shared" si="3"/>
        <v>0</v>
      </c>
      <c r="N44" s="162">
        <f t="shared" si="4"/>
        <v>0</v>
      </c>
      <c r="O44" s="162"/>
      <c r="P44" s="162">
        <f>J44</f>
        <v>0</v>
      </c>
      <c r="Q44" s="162">
        <f t="shared" si="22"/>
        <v>0</v>
      </c>
      <c r="R44" s="162">
        <f t="shared" si="23"/>
        <v>0</v>
      </c>
      <c r="S44" s="162">
        <f>R44-Q44</f>
        <v>0</v>
      </c>
      <c r="T44" s="162"/>
      <c r="U44" s="205"/>
      <c r="V44" s="162">
        <f>Q44+T44</f>
        <v>0</v>
      </c>
      <c r="W44" s="162">
        <f t="shared" si="8"/>
        <v>0</v>
      </c>
      <c r="X44" s="162">
        <f t="shared" si="9"/>
        <v>0</v>
      </c>
      <c r="Y44" s="162"/>
      <c r="Z44" s="162"/>
      <c r="AA44" s="162"/>
      <c r="AB44" s="162">
        <f t="shared" si="10"/>
        <v>0</v>
      </c>
      <c r="AC44" s="162">
        <f t="shared" si="11"/>
        <v>0</v>
      </c>
      <c r="AD44" s="162">
        <f t="shared" si="12"/>
        <v>0</v>
      </c>
      <c r="AE44" s="162"/>
      <c r="AF44" s="158"/>
      <c r="AG44" s="158">
        <v>0</v>
      </c>
      <c r="AH44" s="164" t="e">
        <f t="shared" si="17"/>
        <v>#DIV/0!</v>
      </c>
      <c r="AI44" s="257"/>
    </row>
    <row r="45" spans="1:35" ht="15" customHeight="1" hidden="1">
      <c r="A45" s="198" t="s">
        <v>111</v>
      </c>
      <c r="B45" s="186" t="s">
        <v>112</v>
      </c>
      <c r="C45" s="176" t="s">
        <v>249</v>
      </c>
      <c r="D45" s="162"/>
      <c r="E45" s="158"/>
      <c r="F45" s="162">
        <v>476.786</v>
      </c>
      <c r="G45" s="162">
        <v>341.785</v>
      </c>
      <c r="H45" s="162">
        <f t="shared" si="0"/>
        <v>-135.00099999999998</v>
      </c>
      <c r="I45" s="162">
        <v>476.786</v>
      </c>
      <c r="J45" s="162">
        <v>341.785</v>
      </c>
      <c r="K45" s="162">
        <f t="shared" si="1"/>
        <v>-135.00099999999998</v>
      </c>
      <c r="L45" s="162">
        <f t="shared" si="2"/>
        <v>953.572</v>
      </c>
      <c r="M45" s="162">
        <f t="shared" si="3"/>
        <v>683.57</v>
      </c>
      <c r="N45" s="162">
        <f t="shared" si="4"/>
        <v>-270.00199999999995</v>
      </c>
      <c r="O45" s="162">
        <v>476.786</v>
      </c>
      <c r="P45" s="162">
        <f>J45</f>
        <v>341.785</v>
      </c>
      <c r="Q45" s="162">
        <f t="shared" si="22"/>
        <v>1430.358</v>
      </c>
      <c r="R45" s="162">
        <f t="shared" si="23"/>
        <v>1025.355</v>
      </c>
      <c r="S45" s="162">
        <f>R45-Q45</f>
        <v>-405.00299999999993</v>
      </c>
      <c r="T45" s="162">
        <v>476.786</v>
      </c>
      <c r="U45" s="205">
        <v>341.79</v>
      </c>
      <c r="V45" s="162">
        <v>1367.15</v>
      </c>
      <c r="W45" s="162">
        <f t="shared" si="8"/>
        <v>1367.145</v>
      </c>
      <c r="X45" s="162">
        <f t="shared" si="9"/>
        <v>-0.005000000000109139</v>
      </c>
      <c r="Y45" s="162">
        <v>341.79</v>
      </c>
      <c r="Z45" s="162"/>
      <c r="AA45" s="162"/>
      <c r="AB45" s="162">
        <f t="shared" si="10"/>
        <v>1708.94</v>
      </c>
      <c r="AC45" s="162">
        <f t="shared" si="11"/>
        <v>1367.145</v>
      </c>
      <c r="AD45" s="162">
        <f t="shared" si="12"/>
        <v>-341.7950000000001</v>
      </c>
      <c r="AE45" s="162">
        <v>341.79</v>
      </c>
      <c r="AF45" s="158"/>
      <c r="AG45" s="158">
        <v>1708.935</v>
      </c>
      <c r="AH45" s="164" t="e">
        <f t="shared" si="17"/>
        <v>#DIV/0!</v>
      </c>
      <c r="AI45" s="257"/>
    </row>
    <row r="46" spans="1:35" s="154" customFormat="1" ht="15.75">
      <c r="A46" s="171" t="s">
        <v>344</v>
      </c>
      <c r="B46" s="185" t="s">
        <v>56</v>
      </c>
      <c r="C46" s="176" t="s">
        <v>249</v>
      </c>
      <c r="D46" s="161">
        <f aca="true" t="shared" si="25" ref="D46:AF46">D61+D62+D49+D63+D47+D48+D50+D64</f>
        <v>48884.596982897194</v>
      </c>
      <c r="E46" s="161">
        <f t="shared" si="25"/>
        <v>51858.03255915701</v>
      </c>
      <c r="F46" s="161">
        <f t="shared" si="25"/>
        <v>3294.482</v>
      </c>
      <c r="G46" s="161">
        <f t="shared" si="25"/>
        <v>2106.685</v>
      </c>
      <c r="H46" s="161">
        <f t="shared" si="25"/>
        <v>-1187.797</v>
      </c>
      <c r="I46" s="161">
        <f t="shared" si="25"/>
        <v>8559.587</v>
      </c>
      <c r="J46" s="161">
        <f t="shared" si="25"/>
        <v>4155.780000000001</v>
      </c>
      <c r="K46" s="161">
        <f t="shared" si="25"/>
        <v>-4403.806999999999</v>
      </c>
      <c r="L46" s="161">
        <f t="shared" si="25"/>
        <v>11854.069000000001</v>
      </c>
      <c r="M46" s="161">
        <f t="shared" si="25"/>
        <v>6255.504999999999</v>
      </c>
      <c r="N46" s="161">
        <f t="shared" si="25"/>
        <v>-5598.563999999999</v>
      </c>
      <c r="O46" s="161">
        <f t="shared" si="25"/>
        <v>10508.54</v>
      </c>
      <c r="P46" s="161">
        <f t="shared" si="25"/>
        <v>3580.262</v>
      </c>
      <c r="Q46" s="161">
        <f t="shared" si="25"/>
        <v>22362.608999999997</v>
      </c>
      <c r="R46" s="161">
        <f t="shared" si="25"/>
        <v>9942.631000000001</v>
      </c>
      <c r="S46" s="161">
        <f>S61+S62+S49+S63+S47+S48+S50+S64</f>
        <v>-12419.995</v>
      </c>
      <c r="T46" s="161">
        <f t="shared" si="25"/>
        <v>4815.8845</v>
      </c>
      <c r="U46" s="204">
        <f t="shared" si="25"/>
        <v>6371.860000000001</v>
      </c>
      <c r="V46" s="161">
        <f t="shared" si="25"/>
        <v>16241.46</v>
      </c>
      <c r="W46" s="161">
        <f t="shared" si="25"/>
        <v>16236.557999999999</v>
      </c>
      <c r="X46" s="161">
        <f t="shared" si="25"/>
        <v>-4.902000000000669</v>
      </c>
      <c r="Y46" s="161">
        <f t="shared" si="25"/>
        <v>4202.3055</v>
      </c>
      <c r="Z46" s="161">
        <f t="shared" si="25"/>
        <v>3655.368</v>
      </c>
      <c r="AA46" s="161">
        <f t="shared" si="25"/>
        <v>0</v>
      </c>
      <c r="AB46" s="161">
        <f t="shared" si="25"/>
        <v>20443.7655</v>
      </c>
      <c r="AC46" s="161">
        <f t="shared" si="25"/>
        <v>18846.256</v>
      </c>
      <c r="AD46" s="161">
        <f t="shared" si="25"/>
        <v>-1597.5095000000013</v>
      </c>
      <c r="AE46" s="161">
        <f t="shared" si="25"/>
        <v>3537.2280000000005</v>
      </c>
      <c r="AF46" s="161">
        <f t="shared" si="25"/>
        <v>51858.03255915701</v>
      </c>
      <c r="AG46" s="161">
        <v>22383.484</v>
      </c>
      <c r="AH46" s="164">
        <f t="shared" si="17"/>
        <v>43.16300271219518</v>
      </c>
      <c r="AI46" s="257"/>
    </row>
    <row r="47" spans="1:35" ht="15.75">
      <c r="A47" s="198" t="s">
        <v>113</v>
      </c>
      <c r="B47" s="158" t="s">
        <v>358</v>
      </c>
      <c r="C47" s="176" t="s">
        <v>249</v>
      </c>
      <c r="D47" s="162">
        <v>13056.71</v>
      </c>
      <c r="E47" s="158">
        <v>13840.1126</v>
      </c>
      <c r="F47" s="162">
        <f>'[2]ГСМ'!C18/1000</f>
        <v>814</v>
      </c>
      <c r="G47" s="162">
        <v>561.4</v>
      </c>
      <c r="H47" s="162">
        <f t="shared" si="0"/>
        <v>-252.60000000000002</v>
      </c>
      <c r="I47" s="162">
        <f>'[2]ГСМ'!D18/1000</f>
        <v>870.8</v>
      </c>
      <c r="J47" s="162">
        <f>980.373+11.28</f>
        <v>991.653</v>
      </c>
      <c r="K47" s="162">
        <f t="shared" si="1"/>
        <v>120.85300000000007</v>
      </c>
      <c r="L47" s="162">
        <f t="shared" si="2"/>
        <v>1684.8</v>
      </c>
      <c r="M47" s="162">
        <f t="shared" si="3"/>
        <v>1553.0529999999999</v>
      </c>
      <c r="N47" s="162">
        <f t="shared" si="4"/>
        <v>-131.74700000000007</v>
      </c>
      <c r="O47" s="162">
        <f>'[2]ГСМ'!E18/1000</f>
        <v>510.9</v>
      </c>
      <c r="P47" s="162">
        <v>669.456</v>
      </c>
      <c r="Q47" s="162">
        <f t="shared" si="22"/>
        <v>2195.7</v>
      </c>
      <c r="R47" s="162">
        <f t="shared" si="23"/>
        <v>2222.509</v>
      </c>
      <c r="S47" s="162">
        <f>R47-Q47</f>
        <v>26.809000000000196</v>
      </c>
      <c r="T47" s="162">
        <f>'[2]ГСМ'!F18/1000</f>
        <v>1441.2</v>
      </c>
      <c r="U47" s="205">
        <v>1557.918</v>
      </c>
      <c r="V47" s="162">
        <v>3663.71</v>
      </c>
      <c r="W47" s="162">
        <f t="shared" si="8"/>
        <v>3780.4269999999997</v>
      </c>
      <c r="X47" s="162">
        <f t="shared" si="9"/>
        <v>116.71699999999964</v>
      </c>
      <c r="Y47" s="162">
        <f>'[2]ГСМ'!G18/1000</f>
        <v>1182.4</v>
      </c>
      <c r="Z47" s="162">
        <v>962.085</v>
      </c>
      <c r="AA47" s="162"/>
      <c r="AB47" s="162">
        <f t="shared" si="10"/>
        <v>4846.110000000001</v>
      </c>
      <c r="AC47" s="162">
        <f t="shared" si="11"/>
        <v>4742.512</v>
      </c>
      <c r="AD47" s="162">
        <f t="shared" si="12"/>
        <v>-103.59800000000087</v>
      </c>
      <c r="AE47" s="162">
        <f>'[2]ГСМ'!H18/1000</f>
        <v>1082.7</v>
      </c>
      <c r="AF47" s="158">
        <v>13840.1126</v>
      </c>
      <c r="AG47" s="158">
        <v>5825.2119999999995</v>
      </c>
      <c r="AH47" s="167">
        <f t="shared" si="17"/>
        <v>42.08933964886962</v>
      </c>
      <c r="AI47" s="257"/>
    </row>
    <row r="48" spans="1:35" ht="15.75">
      <c r="A48" s="198" t="s">
        <v>114</v>
      </c>
      <c r="B48" s="158" t="s">
        <v>359</v>
      </c>
      <c r="C48" s="176" t="s">
        <v>249</v>
      </c>
      <c r="D48" s="162">
        <f>580.73</f>
        <v>580.73</v>
      </c>
      <c r="E48" s="158">
        <v>615.5738</v>
      </c>
      <c r="F48" s="162">
        <v>51.2975</v>
      </c>
      <c r="G48" s="162"/>
      <c r="H48" s="162">
        <f t="shared" si="0"/>
        <v>-51.2975</v>
      </c>
      <c r="I48" s="162">
        <v>51.2975</v>
      </c>
      <c r="J48" s="162"/>
      <c r="K48" s="162">
        <f t="shared" si="1"/>
        <v>-51.2975</v>
      </c>
      <c r="L48" s="162">
        <f t="shared" si="2"/>
        <v>102.595</v>
      </c>
      <c r="M48" s="162">
        <f t="shared" si="3"/>
        <v>0</v>
      </c>
      <c r="N48" s="162">
        <f t="shared" si="4"/>
        <v>-102.595</v>
      </c>
      <c r="O48" s="162">
        <v>51.2975</v>
      </c>
      <c r="P48" s="162"/>
      <c r="Q48" s="162">
        <f t="shared" si="22"/>
        <v>153.89249999999998</v>
      </c>
      <c r="R48" s="162">
        <f t="shared" si="23"/>
        <v>0</v>
      </c>
      <c r="S48" s="162">
        <f>R48-Q48</f>
        <v>-153.89249999999998</v>
      </c>
      <c r="T48" s="162">
        <v>51.2975</v>
      </c>
      <c r="U48" s="205"/>
      <c r="V48" s="162">
        <v>102.6</v>
      </c>
      <c r="W48" s="162">
        <f t="shared" si="8"/>
        <v>0</v>
      </c>
      <c r="X48" s="162">
        <f t="shared" si="9"/>
        <v>-102.6</v>
      </c>
      <c r="Y48" s="162">
        <v>51.2975</v>
      </c>
      <c r="Z48" s="162"/>
      <c r="AA48" s="162"/>
      <c r="AB48" s="162">
        <f t="shared" si="10"/>
        <v>153.89749999999998</v>
      </c>
      <c r="AC48" s="162">
        <f t="shared" si="11"/>
        <v>0</v>
      </c>
      <c r="AD48" s="162">
        <f t="shared" si="12"/>
        <v>-153.89749999999998</v>
      </c>
      <c r="AE48" s="162">
        <v>102.6</v>
      </c>
      <c r="AF48" s="158">
        <v>615.5738</v>
      </c>
      <c r="AG48" s="158">
        <v>102.6</v>
      </c>
      <c r="AH48" s="167">
        <f t="shared" si="17"/>
        <v>16.667376031923382</v>
      </c>
      <c r="AI48" s="257"/>
    </row>
    <row r="49" spans="1:35" ht="15.75">
      <c r="A49" s="198" t="s">
        <v>115</v>
      </c>
      <c r="B49" s="158" t="s">
        <v>364</v>
      </c>
      <c r="C49" s="176" t="s">
        <v>249</v>
      </c>
      <c r="D49" s="162">
        <v>683.003</v>
      </c>
      <c r="E49" s="158">
        <v>723.9831800000001</v>
      </c>
      <c r="F49" s="168">
        <v>99.9</v>
      </c>
      <c r="G49" s="168"/>
      <c r="H49" s="162">
        <f t="shared" si="0"/>
        <v>-99.9</v>
      </c>
      <c r="I49" s="168">
        <f>99.9</f>
        <v>99.9</v>
      </c>
      <c r="J49" s="168">
        <f>213.831-83.03</f>
        <v>130.801</v>
      </c>
      <c r="K49" s="162">
        <f t="shared" si="1"/>
        <v>30.900999999999982</v>
      </c>
      <c r="L49" s="162">
        <f t="shared" si="2"/>
        <v>199.8</v>
      </c>
      <c r="M49" s="162">
        <f t="shared" si="3"/>
        <v>130.801</v>
      </c>
      <c r="N49" s="162">
        <f t="shared" si="4"/>
        <v>-68.99900000000002</v>
      </c>
      <c r="O49" s="168">
        <v>99.9</v>
      </c>
      <c r="P49" s="168"/>
      <c r="Q49" s="162">
        <f t="shared" si="22"/>
        <v>299.70000000000005</v>
      </c>
      <c r="R49" s="162">
        <f>G49+J49+O49</f>
        <v>230.701</v>
      </c>
      <c r="S49" s="162">
        <f>R49-Q49</f>
        <v>-68.99900000000005</v>
      </c>
      <c r="T49" s="168">
        <v>99.9</v>
      </c>
      <c r="U49" s="209">
        <v>121.196</v>
      </c>
      <c r="V49" s="162">
        <v>130.8</v>
      </c>
      <c r="W49" s="162">
        <v>265.471</v>
      </c>
      <c r="X49" s="162">
        <f t="shared" si="9"/>
        <v>134.671</v>
      </c>
      <c r="Y49" s="168">
        <v>99.9</v>
      </c>
      <c r="Z49" s="168"/>
      <c r="AA49" s="168"/>
      <c r="AB49" s="162">
        <f t="shared" si="10"/>
        <v>230.70000000000002</v>
      </c>
      <c r="AC49" s="162">
        <f t="shared" si="11"/>
        <v>265.471</v>
      </c>
      <c r="AD49" s="162">
        <f t="shared" si="12"/>
        <v>34.77099999999999</v>
      </c>
      <c r="AE49" s="168">
        <v>99.9</v>
      </c>
      <c r="AF49" s="158">
        <v>723.9831800000001</v>
      </c>
      <c r="AG49" s="158">
        <v>365.371</v>
      </c>
      <c r="AH49" s="167">
        <f t="shared" si="17"/>
        <v>50.46678018127437</v>
      </c>
      <c r="AI49" s="257"/>
    </row>
    <row r="50" spans="1:35" s="154" customFormat="1" ht="15.75">
      <c r="A50" s="171" t="s">
        <v>116</v>
      </c>
      <c r="B50" s="169" t="s">
        <v>360</v>
      </c>
      <c r="C50" s="160" t="s">
        <v>249</v>
      </c>
      <c r="D50" s="161">
        <f>D52+D54+D55+D56+D57+D60</f>
        <v>13490.397224299066</v>
      </c>
      <c r="E50" s="161">
        <f>E52+E54+E55+E56+E57+E60</f>
        <v>14299.82105775701</v>
      </c>
      <c r="F50" s="161">
        <f aca="true" t="shared" si="26" ref="F50:O50">F52+F54+F55+F56+F57+F60+F53+F58+F59</f>
        <v>319.336</v>
      </c>
      <c r="G50" s="161">
        <f t="shared" si="26"/>
        <v>380.275</v>
      </c>
      <c r="H50" s="161">
        <f t="shared" si="26"/>
        <v>60.93899999999999</v>
      </c>
      <c r="I50" s="161">
        <f t="shared" si="26"/>
        <v>5494.041</v>
      </c>
      <c r="J50" s="161">
        <f t="shared" si="26"/>
        <v>1065.111</v>
      </c>
      <c r="K50" s="161">
        <f t="shared" si="26"/>
        <v>-4428.929999999999</v>
      </c>
      <c r="L50" s="161">
        <f t="shared" si="26"/>
        <v>5813.377</v>
      </c>
      <c r="M50" s="161">
        <f t="shared" si="26"/>
        <v>1445.386</v>
      </c>
      <c r="N50" s="161">
        <f t="shared" si="26"/>
        <v>-4367.990999999999</v>
      </c>
      <c r="O50" s="161">
        <f t="shared" si="26"/>
        <v>6642.769</v>
      </c>
      <c r="P50" s="162">
        <f>R50-M50</f>
        <v>1470.6840000000002</v>
      </c>
      <c r="Q50" s="162">
        <f>Q52+Q53+Q54+Q55+Q56+Q57+Q58+Q59+Q60</f>
        <v>12456.145999999999</v>
      </c>
      <c r="R50" s="162">
        <v>2916.07</v>
      </c>
      <c r="S50" s="161">
        <f>S52+S54+S55+S56+S57+S60+S53+S58+S59</f>
        <v>-9540.093</v>
      </c>
      <c r="T50" s="161">
        <f>T52+T54+T55+T56+T57+T60+T53+T58+T59</f>
        <v>628.056</v>
      </c>
      <c r="U50" s="204">
        <f>U52+U54+U55+U56+U57+U60+U53+U58+U59</f>
        <v>2212.472</v>
      </c>
      <c r="V50" s="161">
        <f>V52+V54+V55+V56+V57+V60+V53+V58+V59</f>
        <v>5010.89</v>
      </c>
      <c r="W50" s="161">
        <f>W52+W54+W55+W56+W57+W60+W53+W58+W59</f>
        <v>5128.525000000001</v>
      </c>
      <c r="X50" s="161">
        <f aca="true" t="shared" si="27" ref="X50:AF50">X52+X54+X55+X56+X57+X60+X53+X58+X59</f>
        <v>117.63499999999965</v>
      </c>
      <c r="Y50" s="161">
        <f t="shared" si="27"/>
        <v>661.2180000000001</v>
      </c>
      <c r="Z50" s="161">
        <v>1045.67</v>
      </c>
      <c r="AA50" s="161">
        <f t="shared" si="27"/>
        <v>0</v>
      </c>
      <c r="AB50" s="161">
        <f t="shared" si="27"/>
        <v>5672.108</v>
      </c>
      <c r="AC50" s="161">
        <f t="shared" si="27"/>
        <v>5128.525000000001</v>
      </c>
      <c r="AD50" s="161">
        <f t="shared" si="27"/>
        <v>-543.5830000000003</v>
      </c>
      <c r="AE50" s="161">
        <f t="shared" si="27"/>
        <v>701.518</v>
      </c>
      <c r="AF50" s="161">
        <f t="shared" si="27"/>
        <v>14299.82105775701</v>
      </c>
      <c r="AG50" s="161">
        <v>5830.043000000001</v>
      </c>
      <c r="AH50" s="164">
        <f t="shared" si="17"/>
        <v>40.77004164214674</v>
      </c>
      <c r="AI50" s="257"/>
    </row>
    <row r="51" spans="1:35" ht="15" customHeight="1" hidden="1">
      <c r="A51" s="198"/>
      <c r="B51" s="158" t="s">
        <v>250</v>
      </c>
      <c r="C51" s="176" t="s">
        <v>249</v>
      </c>
      <c r="D51" s="162"/>
      <c r="E51" s="158"/>
      <c r="F51" s="162"/>
      <c r="G51" s="162"/>
      <c r="H51" s="162">
        <f t="shared" si="0"/>
        <v>0</v>
      </c>
      <c r="I51" s="162"/>
      <c r="J51" s="162"/>
      <c r="K51" s="162">
        <f t="shared" si="1"/>
        <v>0</v>
      </c>
      <c r="L51" s="162">
        <f t="shared" si="2"/>
        <v>0</v>
      </c>
      <c r="M51" s="162">
        <f t="shared" si="3"/>
        <v>0</v>
      </c>
      <c r="N51" s="162">
        <f t="shared" si="4"/>
        <v>0</v>
      </c>
      <c r="O51" s="162"/>
      <c r="P51" s="162"/>
      <c r="Q51" s="162">
        <f t="shared" si="22"/>
        <v>0</v>
      </c>
      <c r="R51" s="162">
        <f t="shared" si="23"/>
        <v>0</v>
      </c>
      <c r="S51" s="162">
        <f aca="true" t="shared" si="28" ref="S51:S63">R51-Q51</f>
        <v>0</v>
      </c>
      <c r="T51" s="162"/>
      <c r="U51" s="205"/>
      <c r="V51" s="162">
        <f>Q51+T51</f>
        <v>0</v>
      </c>
      <c r="W51" s="162">
        <f t="shared" si="8"/>
        <v>0</v>
      </c>
      <c r="X51" s="162">
        <f t="shared" si="9"/>
        <v>0</v>
      </c>
      <c r="Y51" s="162"/>
      <c r="Z51" s="162"/>
      <c r="AA51" s="162"/>
      <c r="AB51" s="162">
        <f t="shared" si="10"/>
        <v>0</v>
      </c>
      <c r="AC51" s="162">
        <f t="shared" si="11"/>
        <v>0</v>
      </c>
      <c r="AD51" s="162">
        <f t="shared" si="12"/>
        <v>0</v>
      </c>
      <c r="AE51" s="162"/>
      <c r="AF51" s="158"/>
      <c r="AG51" s="158">
        <v>0</v>
      </c>
      <c r="AH51" s="167" t="e">
        <f t="shared" si="17"/>
        <v>#DIV/0!</v>
      </c>
      <c r="AI51" s="257"/>
    </row>
    <row r="52" spans="1:35" ht="15" customHeight="1" hidden="1">
      <c r="A52" s="198"/>
      <c r="B52" s="158" t="s">
        <v>117</v>
      </c>
      <c r="C52" s="176" t="s">
        <v>249</v>
      </c>
      <c r="D52" s="162">
        <v>571.037</v>
      </c>
      <c r="E52" s="158">
        <v>605.2992200000001</v>
      </c>
      <c r="F52" s="162">
        <v>47.116</v>
      </c>
      <c r="G52" s="158"/>
      <c r="H52" s="162">
        <f t="shared" si="0"/>
        <v>-47.116</v>
      </c>
      <c r="I52" s="162">
        <v>47.116</v>
      </c>
      <c r="J52" s="162"/>
      <c r="K52" s="162">
        <f t="shared" si="1"/>
        <v>-47.116</v>
      </c>
      <c r="L52" s="162">
        <f t="shared" si="2"/>
        <v>94.232</v>
      </c>
      <c r="M52" s="162">
        <f t="shared" si="3"/>
        <v>0</v>
      </c>
      <c r="N52" s="162">
        <f t="shared" si="4"/>
        <v>-94.232</v>
      </c>
      <c r="O52" s="162">
        <v>47.116</v>
      </c>
      <c r="P52" s="162"/>
      <c r="Q52" s="162">
        <f t="shared" si="22"/>
        <v>141.348</v>
      </c>
      <c r="R52" s="162">
        <f t="shared" si="23"/>
        <v>0</v>
      </c>
      <c r="S52" s="162">
        <f t="shared" si="28"/>
        <v>-141.348</v>
      </c>
      <c r="T52" s="162">
        <v>47.116</v>
      </c>
      <c r="U52" s="205"/>
      <c r="V52" s="162"/>
      <c r="W52" s="162">
        <f t="shared" si="8"/>
        <v>0</v>
      </c>
      <c r="X52" s="162">
        <f t="shared" si="9"/>
        <v>0</v>
      </c>
      <c r="Y52" s="162">
        <v>94.23</v>
      </c>
      <c r="Z52" s="162"/>
      <c r="AA52" s="162"/>
      <c r="AB52" s="162">
        <f t="shared" si="10"/>
        <v>94.23</v>
      </c>
      <c r="AC52" s="162">
        <f t="shared" si="11"/>
        <v>0</v>
      </c>
      <c r="AD52" s="162">
        <f t="shared" si="12"/>
        <v>-94.23</v>
      </c>
      <c r="AE52" s="162">
        <v>94.23</v>
      </c>
      <c r="AF52" s="158">
        <v>605.2992200000001</v>
      </c>
      <c r="AG52" s="158">
        <v>94.23</v>
      </c>
      <c r="AH52" s="167">
        <f t="shared" si="17"/>
        <v>15.56750725698936</v>
      </c>
      <c r="AI52" s="257"/>
    </row>
    <row r="53" spans="1:35" ht="15" customHeight="1" hidden="1">
      <c r="A53" s="198"/>
      <c r="B53" s="158" t="s">
        <v>118</v>
      </c>
      <c r="C53" s="176" t="s">
        <v>249</v>
      </c>
      <c r="D53" s="162"/>
      <c r="E53" s="158"/>
      <c r="F53" s="162"/>
      <c r="G53" s="158"/>
      <c r="H53" s="162">
        <f t="shared" si="0"/>
        <v>0</v>
      </c>
      <c r="I53" s="162"/>
      <c r="J53" s="162"/>
      <c r="K53" s="162">
        <f t="shared" si="1"/>
        <v>0</v>
      </c>
      <c r="L53" s="162">
        <f t="shared" si="2"/>
        <v>0</v>
      </c>
      <c r="M53" s="162">
        <f t="shared" si="3"/>
        <v>0</v>
      </c>
      <c r="N53" s="162">
        <f t="shared" si="4"/>
        <v>0</v>
      </c>
      <c r="O53" s="162"/>
      <c r="P53" s="162"/>
      <c r="Q53" s="162">
        <f t="shared" si="22"/>
        <v>0</v>
      </c>
      <c r="R53" s="162">
        <f t="shared" si="23"/>
        <v>0</v>
      </c>
      <c r="S53" s="162">
        <f t="shared" si="28"/>
        <v>0</v>
      </c>
      <c r="T53" s="162">
        <f>617.44/2</f>
        <v>308.72</v>
      </c>
      <c r="U53" s="205"/>
      <c r="V53" s="162"/>
      <c r="W53" s="162">
        <f t="shared" si="8"/>
        <v>0</v>
      </c>
      <c r="X53" s="162">
        <f t="shared" si="9"/>
        <v>0</v>
      </c>
      <c r="Y53" s="162">
        <f>617.44/2</f>
        <v>308.72</v>
      </c>
      <c r="Z53" s="162"/>
      <c r="AA53" s="162"/>
      <c r="AB53" s="162">
        <f t="shared" si="10"/>
        <v>308.72</v>
      </c>
      <c r="AC53" s="162">
        <f t="shared" si="11"/>
        <v>0</v>
      </c>
      <c r="AD53" s="162">
        <f t="shared" si="12"/>
        <v>-308.72</v>
      </c>
      <c r="AE53" s="162">
        <v>308.72</v>
      </c>
      <c r="AF53" s="158"/>
      <c r="AG53" s="158">
        <v>308.72</v>
      </c>
      <c r="AH53" s="167" t="e">
        <f t="shared" si="17"/>
        <v>#DIV/0!</v>
      </c>
      <c r="AI53" s="257"/>
    </row>
    <row r="54" spans="1:35" ht="15" customHeight="1" hidden="1">
      <c r="A54" s="198"/>
      <c r="B54" s="158" t="s">
        <v>119</v>
      </c>
      <c r="C54" s="176" t="s">
        <v>249</v>
      </c>
      <c r="D54" s="162">
        <v>2474.65</v>
      </c>
      <c r="E54" s="158">
        <v>2623.1290000000004</v>
      </c>
      <c r="F54" s="162"/>
      <c r="G54" s="158"/>
      <c r="H54" s="162">
        <f t="shared" si="0"/>
        <v>0</v>
      </c>
      <c r="I54" s="162">
        <f>1383*1.2</f>
        <v>1659.6</v>
      </c>
      <c r="J54" s="162">
        <v>555.875</v>
      </c>
      <c r="K54" s="162">
        <f t="shared" si="1"/>
        <v>-1103.725</v>
      </c>
      <c r="L54" s="162">
        <f t="shared" si="2"/>
        <v>1659.6</v>
      </c>
      <c r="M54" s="162">
        <f t="shared" si="3"/>
        <v>555.875</v>
      </c>
      <c r="N54" s="162">
        <f t="shared" si="4"/>
        <v>-1103.725</v>
      </c>
      <c r="O54" s="162">
        <f>1293-1.1</f>
        <v>1291.9</v>
      </c>
      <c r="P54" s="162">
        <f>R54-M54</f>
        <v>1167.649</v>
      </c>
      <c r="Q54" s="162">
        <f t="shared" si="22"/>
        <v>2951.5</v>
      </c>
      <c r="R54" s="162">
        <v>1723.524</v>
      </c>
      <c r="S54" s="162">
        <f t="shared" si="28"/>
        <v>-1227.976</v>
      </c>
      <c r="T54" s="162"/>
      <c r="U54" s="205">
        <v>1547.376</v>
      </c>
      <c r="V54" s="162">
        <v>3270.92</v>
      </c>
      <c r="W54" s="162">
        <f t="shared" si="8"/>
        <v>3270.8999999999996</v>
      </c>
      <c r="X54" s="162">
        <f t="shared" si="9"/>
        <v>-0.020000000000436557</v>
      </c>
      <c r="Y54" s="162"/>
      <c r="Z54" s="162"/>
      <c r="AA54" s="162"/>
      <c r="AB54" s="162">
        <f t="shared" si="10"/>
        <v>3270.92</v>
      </c>
      <c r="AC54" s="162">
        <f t="shared" si="11"/>
        <v>3270.8999999999996</v>
      </c>
      <c r="AD54" s="162">
        <f t="shared" si="12"/>
        <v>-0.020000000000436557</v>
      </c>
      <c r="AE54" s="162"/>
      <c r="AF54" s="158">
        <v>2623.1290000000004</v>
      </c>
      <c r="AG54" s="158">
        <v>3270.8999999999996</v>
      </c>
      <c r="AH54" s="167">
        <f t="shared" si="17"/>
        <v>124.694591840508</v>
      </c>
      <c r="AI54" s="257"/>
    </row>
    <row r="55" spans="1:35" ht="15" customHeight="1" hidden="1">
      <c r="A55" s="198"/>
      <c r="B55" s="158" t="s">
        <v>120</v>
      </c>
      <c r="C55" s="176" t="s">
        <v>249</v>
      </c>
      <c r="D55" s="162">
        <v>307.43</v>
      </c>
      <c r="E55" s="158">
        <v>325.8758</v>
      </c>
      <c r="F55" s="162">
        <v>44.833</v>
      </c>
      <c r="G55" s="158">
        <v>4.53</v>
      </c>
      <c r="H55" s="162">
        <f t="shared" si="0"/>
        <v>-40.303</v>
      </c>
      <c r="I55" s="162">
        <v>44.833</v>
      </c>
      <c r="J55" s="162">
        <v>4.566</v>
      </c>
      <c r="K55" s="162">
        <f t="shared" si="1"/>
        <v>-40.266999999999996</v>
      </c>
      <c r="L55" s="162">
        <f t="shared" si="2"/>
        <v>89.666</v>
      </c>
      <c r="M55" s="162">
        <f t="shared" si="3"/>
        <v>9.096</v>
      </c>
      <c r="N55" s="162">
        <f t="shared" si="4"/>
        <v>-80.57</v>
      </c>
      <c r="O55" s="162">
        <v>44.833</v>
      </c>
      <c r="P55" s="162">
        <f aca="true" t="shared" si="29" ref="P55:P60">R55-M55</f>
        <v>4.022</v>
      </c>
      <c r="Q55" s="162">
        <f t="shared" si="22"/>
        <v>134.499</v>
      </c>
      <c r="R55" s="162">
        <v>13.118</v>
      </c>
      <c r="S55" s="162">
        <f t="shared" si="28"/>
        <v>-121.381</v>
      </c>
      <c r="T55" s="162">
        <v>44.833</v>
      </c>
      <c r="U55" s="205">
        <v>360.927</v>
      </c>
      <c r="V55" s="162">
        <v>321.17</v>
      </c>
      <c r="W55" s="162">
        <f t="shared" si="8"/>
        <v>374.045</v>
      </c>
      <c r="X55" s="162">
        <f t="shared" si="9"/>
        <v>52.875</v>
      </c>
      <c r="Y55" s="162">
        <v>44.83</v>
      </c>
      <c r="Z55" s="162"/>
      <c r="AA55" s="162"/>
      <c r="AB55" s="162">
        <f t="shared" si="10"/>
        <v>366</v>
      </c>
      <c r="AC55" s="162">
        <f t="shared" si="11"/>
        <v>374.045</v>
      </c>
      <c r="AD55" s="162">
        <f t="shared" si="12"/>
        <v>8.045000000000016</v>
      </c>
      <c r="AE55" s="162">
        <v>85.13</v>
      </c>
      <c r="AF55" s="158">
        <v>325.8758</v>
      </c>
      <c r="AG55" s="158">
        <v>459.175</v>
      </c>
      <c r="AH55" s="167">
        <f t="shared" si="17"/>
        <v>140.90490917091725</v>
      </c>
      <c r="AI55" s="257"/>
    </row>
    <row r="56" spans="1:35" ht="15" customHeight="1" hidden="1">
      <c r="A56" s="198"/>
      <c r="B56" s="158" t="s">
        <v>121</v>
      </c>
      <c r="C56" s="176" t="s">
        <v>249</v>
      </c>
      <c r="D56" s="162">
        <v>1478.057</v>
      </c>
      <c r="E56" s="158">
        <v>1566.74042</v>
      </c>
      <c r="F56" s="162">
        <v>113.949</v>
      </c>
      <c r="G56" s="158">
        <v>62.511</v>
      </c>
      <c r="H56" s="162">
        <f t="shared" si="0"/>
        <v>-51.437999999999995</v>
      </c>
      <c r="I56" s="162">
        <v>113.949</v>
      </c>
      <c r="J56" s="162">
        <v>51.418</v>
      </c>
      <c r="K56" s="162">
        <f t="shared" si="1"/>
        <v>-62.531</v>
      </c>
      <c r="L56" s="162">
        <f t="shared" si="2"/>
        <v>227.898</v>
      </c>
      <c r="M56" s="162">
        <f t="shared" si="3"/>
        <v>113.929</v>
      </c>
      <c r="N56" s="162">
        <f t="shared" si="4"/>
        <v>-113.969</v>
      </c>
      <c r="O56" s="162">
        <v>113.949</v>
      </c>
      <c r="P56" s="162">
        <f t="shared" si="29"/>
        <v>94.68</v>
      </c>
      <c r="Q56" s="162">
        <f t="shared" si="22"/>
        <v>341.847</v>
      </c>
      <c r="R56" s="162">
        <v>208.609</v>
      </c>
      <c r="S56" s="162">
        <f t="shared" si="28"/>
        <v>-133.23799999999997</v>
      </c>
      <c r="T56" s="162">
        <v>113.949</v>
      </c>
      <c r="U56" s="205">
        <v>106.708</v>
      </c>
      <c r="V56" s="162">
        <v>301.94</v>
      </c>
      <c r="W56" s="162">
        <f t="shared" si="8"/>
        <v>315.317</v>
      </c>
      <c r="X56" s="162">
        <f t="shared" si="9"/>
        <v>13.37700000000001</v>
      </c>
      <c r="Y56" s="162">
        <v>100</v>
      </c>
      <c r="Z56" s="162"/>
      <c r="AA56" s="162"/>
      <c r="AB56" s="162">
        <f t="shared" si="10"/>
        <v>401.94</v>
      </c>
      <c r="AC56" s="162">
        <f t="shared" si="11"/>
        <v>315.317</v>
      </c>
      <c r="AD56" s="162">
        <f t="shared" si="12"/>
        <v>-86.62299999999999</v>
      </c>
      <c r="AE56" s="162">
        <v>100</v>
      </c>
      <c r="AF56" s="158">
        <v>1566.74042</v>
      </c>
      <c r="AG56" s="158">
        <v>415.317</v>
      </c>
      <c r="AH56" s="167">
        <f t="shared" si="17"/>
        <v>26.50834782190658</v>
      </c>
      <c r="AI56" s="257"/>
    </row>
    <row r="57" spans="1:35" ht="15" customHeight="1" hidden="1">
      <c r="A57" s="198"/>
      <c r="B57" s="158" t="s">
        <v>122</v>
      </c>
      <c r="C57" s="176" t="s">
        <v>249</v>
      </c>
      <c r="D57" s="162">
        <f>8003.79/1.07*1.06</f>
        <v>7928.988224299065</v>
      </c>
      <c r="E57" s="158">
        <v>8404.72751775701</v>
      </c>
      <c r="F57" s="162"/>
      <c r="G57" s="158">
        <v>265</v>
      </c>
      <c r="H57" s="162">
        <f t="shared" si="0"/>
        <v>265</v>
      </c>
      <c r="I57" s="162">
        <f>7030.21/2</f>
        <v>3515.105</v>
      </c>
      <c r="J57" s="162">
        <v>333.272</v>
      </c>
      <c r="K57" s="162">
        <f t="shared" si="1"/>
        <v>-3181.833</v>
      </c>
      <c r="L57" s="162">
        <f t="shared" si="2"/>
        <v>3515.105</v>
      </c>
      <c r="M57" s="162">
        <f t="shared" si="3"/>
        <v>598.2719999999999</v>
      </c>
      <c r="N57" s="162">
        <f t="shared" si="4"/>
        <v>-2916.833</v>
      </c>
      <c r="O57" s="162">
        <v>3515.105</v>
      </c>
      <c r="P57" s="162">
        <f t="shared" si="29"/>
        <v>102.35600000000011</v>
      </c>
      <c r="Q57" s="162">
        <f t="shared" si="22"/>
        <v>7030.21</v>
      </c>
      <c r="R57" s="162">
        <v>700.628</v>
      </c>
      <c r="S57" s="162">
        <f t="shared" si="28"/>
        <v>-6329.582</v>
      </c>
      <c r="T57" s="162"/>
      <c r="U57" s="205">
        <v>71.945</v>
      </c>
      <c r="V57" s="162">
        <v>757.48</v>
      </c>
      <c r="W57" s="162">
        <f t="shared" si="8"/>
        <v>772.5730000000001</v>
      </c>
      <c r="X57" s="162">
        <f t="shared" si="9"/>
        <v>15.093000000000075</v>
      </c>
      <c r="Y57" s="162"/>
      <c r="Z57" s="162"/>
      <c r="AA57" s="162"/>
      <c r="AB57" s="162">
        <f t="shared" si="10"/>
        <v>757.48</v>
      </c>
      <c r="AC57" s="162">
        <f t="shared" si="11"/>
        <v>772.5730000000001</v>
      </c>
      <c r="AD57" s="162">
        <f t="shared" si="12"/>
        <v>15.093000000000075</v>
      </c>
      <c r="AE57" s="162"/>
      <c r="AF57" s="158">
        <v>8404.72751775701</v>
      </c>
      <c r="AG57" s="158">
        <v>772.5730000000001</v>
      </c>
      <c r="AH57" s="167">
        <f t="shared" si="17"/>
        <v>9.19212429394949</v>
      </c>
      <c r="AI57" s="257"/>
    </row>
    <row r="58" spans="1:35" ht="15" customHeight="1" hidden="1">
      <c r="A58" s="198"/>
      <c r="B58" s="158" t="s">
        <v>123</v>
      </c>
      <c r="C58" s="176" t="s">
        <v>249</v>
      </c>
      <c r="D58" s="187" t="s">
        <v>124</v>
      </c>
      <c r="E58" s="158"/>
      <c r="F58" s="187"/>
      <c r="G58" s="158">
        <v>0.803</v>
      </c>
      <c r="H58" s="162">
        <f t="shared" si="0"/>
        <v>0.803</v>
      </c>
      <c r="I58" s="187"/>
      <c r="J58" s="187" t="s">
        <v>410</v>
      </c>
      <c r="K58" s="162">
        <f t="shared" si="1"/>
        <v>0.667</v>
      </c>
      <c r="L58" s="162">
        <f t="shared" si="2"/>
        <v>0</v>
      </c>
      <c r="M58" s="162">
        <f t="shared" si="3"/>
        <v>1.4700000000000002</v>
      </c>
      <c r="N58" s="162">
        <f t="shared" si="4"/>
        <v>1.4700000000000002</v>
      </c>
      <c r="O58" s="162">
        <v>825</v>
      </c>
      <c r="P58" s="162">
        <f t="shared" si="29"/>
        <v>0</v>
      </c>
      <c r="Q58" s="162">
        <f t="shared" si="22"/>
        <v>825</v>
      </c>
      <c r="R58" s="162">
        <v>1.47</v>
      </c>
      <c r="S58" s="162">
        <f t="shared" si="28"/>
        <v>-823.53</v>
      </c>
      <c r="T58" s="187"/>
      <c r="U58" s="210"/>
      <c r="V58" s="162">
        <v>1.47</v>
      </c>
      <c r="W58" s="162">
        <f t="shared" si="8"/>
        <v>1.47</v>
      </c>
      <c r="X58" s="162">
        <f t="shared" si="9"/>
        <v>0</v>
      </c>
      <c r="Y58" s="187"/>
      <c r="Z58" s="187"/>
      <c r="AA58" s="187"/>
      <c r="AB58" s="162">
        <f t="shared" si="10"/>
        <v>1.47</v>
      </c>
      <c r="AC58" s="162">
        <f t="shared" si="11"/>
        <v>1.47</v>
      </c>
      <c r="AD58" s="162">
        <f t="shared" si="12"/>
        <v>0</v>
      </c>
      <c r="AE58" s="187"/>
      <c r="AF58" s="158"/>
      <c r="AG58" s="158">
        <v>1.47</v>
      </c>
      <c r="AH58" s="167" t="e">
        <f t="shared" si="17"/>
        <v>#DIV/0!</v>
      </c>
      <c r="AI58" s="257"/>
    </row>
    <row r="59" spans="1:35" ht="15" customHeight="1" hidden="1">
      <c r="A59" s="198"/>
      <c r="B59" s="158" t="s">
        <v>125</v>
      </c>
      <c r="C59" s="176" t="s">
        <v>249</v>
      </c>
      <c r="D59" s="187"/>
      <c r="E59" s="158"/>
      <c r="F59" s="187"/>
      <c r="G59" s="158"/>
      <c r="H59" s="162">
        <f t="shared" si="0"/>
        <v>0</v>
      </c>
      <c r="I59" s="187"/>
      <c r="J59" s="187"/>
      <c r="K59" s="162">
        <f t="shared" si="1"/>
        <v>0</v>
      </c>
      <c r="L59" s="162">
        <f t="shared" si="2"/>
        <v>0</v>
      </c>
      <c r="M59" s="162">
        <f t="shared" si="3"/>
        <v>0</v>
      </c>
      <c r="N59" s="162">
        <f t="shared" si="4"/>
        <v>0</v>
      </c>
      <c r="O59" s="188">
        <v>691.428</v>
      </c>
      <c r="P59" s="162">
        <f t="shared" si="29"/>
        <v>0</v>
      </c>
      <c r="Q59" s="162">
        <f t="shared" si="22"/>
        <v>691.428</v>
      </c>
      <c r="R59" s="162"/>
      <c r="S59" s="162">
        <f t="shared" si="28"/>
        <v>-691.428</v>
      </c>
      <c r="T59" s="187"/>
      <c r="U59" s="210"/>
      <c r="V59" s="162"/>
      <c r="W59" s="162">
        <f t="shared" si="8"/>
        <v>0</v>
      </c>
      <c r="X59" s="162">
        <f t="shared" si="9"/>
        <v>0</v>
      </c>
      <c r="Y59" s="187"/>
      <c r="Z59" s="187"/>
      <c r="AA59" s="187"/>
      <c r="AB59" s="162">
        <f t="shared" si="10"/>
        <v>0</v>
      </c>
      <c r="AC59" s="162">
        <f t="shared" si="11"/>
        <v>0</v>
      </c>
      <c r="AD59" s="162">
        <f t="shared" si="12"/>
        <v>0</v>
      </c>
      <c r="AE59" s="187"/>
      <c r="AF59" s="158"/>
      <c r="AG59" s="158">
        <v>0</v>
      </c>
      <c r="AH59" s="167" t="e">
        <f t="shared" si="17"/>
        <v>#DIV/0!</v>
      </c>
      <c r="AI59" s="257"/>
    </row>
    <row r="60" spans="1:35" ht="15" customHeight="1" hidden="1">
      <c r="A60" s="198"/>
      <c r="B60" s="158" t="s">
        <v>126</v>
      </c>
      <c r="C60" s="176" t="s">
        <v>249</v>
      </c>
      <c r="D60" s="162">
        <v>730.235</v>
      </c>
      <c r="E60" s="158">
        <v>774.0491000000001</v>
      </c>
      <c r="F60" s="162">
        <v>113.438</v>
      </c>
      <c r="G60" s="158">
        <v>47.431</v>
      </c>
      <c r="H60" s="162">
        <f t="shared" si="0"/>
        <v>-66.007</v>
      </c>
      <c r="I60" s="162">
        <v>113.438</v>
      </c>
      <c r="J60" s="162">
        <v>119.313</v>
      </c>
      <c r="K60" s="162">
        <f t="shared" si="1"/>
        <v>5.875</v>
      </c>
      <c r="L60" s="162">
        <f t="shared" si="2"/>
        <v>226.876</v>
      </c>
      <c r="M60" s="162">
        <f t="shared" si="3"/>
        <v>166.744</v>
      </c>
      <c r="N60" s="162">
        <f t="shared" si="4"/>
        <v>-60.132000000000005</v>
      </c>
      <c r="O60" s="162">
        <v>113.438</v>
      </c>
      <c r="P60" s="162">
        <f t="shared" si="29"/>
        <v>101.96000000000001</v>
      </c>
      <c r="Q60" s="162">
        <f t="shared" si="22"/>
        <v>340.314</v>
      </c>
      <c r="R60" s="162">
        <v>268.704</v>
      </c>
      <c r="S60" s="162">
        <f t="shared" si="28"/>
        <v>-71.61000000000001</v>
      </c>
      <c r="T60" s="162">
        <v>113.438</v>
      </c>
      <c r="U60" s="205">
        <v>125.516</v>
      </c>
      <c r="V60" s="162">
        <v>357.91</v>
      </c>
      <c r="W60" s="162">
        <f t="shared" si="8"/>
        <v>394.22</v>
      </c>
      <c r="X60" s="162">
        <f t="shared" si="9"/>
        <v>36.31</v>
      </c>
      <c r="Y60" s="162">
        <v>113.438</v>
      </c>
      <c r="Z60" s="162"/>
      <c r="AA60" s="162"/>
      <c r="AB60" s="162">
        <f t="shared" si="10"/>
        <v>471.348</v>
      </c>
      <c r="AC60" s="162">
        <f t="shared" si="11"/>
        <v>394.22</v>
      </c>
      <c r="AD60" s="162">
        <f t="shared" si="12"/>
        <v>-77.12799999999999</v>
      </c>
      <c r="AE60" s="162">
        <v>113.438</v>
      </c>
      <c r="AF60" s="158">
        <v>774.0491000000001</v>
      </c>
      <c r="AG60" s="158">
        <v>507.658</v>
      </c>
      <c r="AH60" s="167">
        <f t="shared" si="17"/>
        <v>65.58472841063958</v>
      </c>
      <c r="AI60" s="257"/>
    </row>
    <row r="61" spans="1:35" ht="15.75">
      <c r="A61" s="198" t="s">
        <v>127</v>
      </c>
      <c r="B61" s="158" t="s">
        <v>362</v>
      </c>
      <c r="C61" s="176" t="s">
        <v>249</v>
      </c>
      <c r="D61" s="162">
        <v>7976.784</v>
      </c>
      <c r="E61" s="158">
        <v>8455.391</v>
      </c>
      <c r="F61" s="162">
        <v>712</v>
      </c>
      <c r="G61" s="162">
        <v>712</v>
      </c>
      <c r="H61" s="162">
        <f t="shared" si="0"/>
        <v>0</v>
      </c>
      <c r="I61" s="162">
        <v>712</v>
      </c>
      <c r="J61" s="162">
        <v>712</v>
      </c>
      <c r="K61" s="162">
        <f t="shared" si="1"/>
        <v>0</v>
      </c>
      <c r="L61" s="162">
        <f t="shared" si="2"/>
        <v>1424</v>
      </c>
      <c r="M61" s="162">
        <f t="shared" si="3"/>
        <v>1424</v>
      </c>
      <c r="N61" s="162">
        <f t="shared" si="4"/>
        <v>0</v>
      </c>
      <c r="O61" s="162">
        <v>712</v>
      </c>
      <c r="P61" s="162">
        <v>712</v>
      </c>
      <c r="Q61" s="162">
        <f t="shared" si="22"/>
        <v>2136</v>
      </c>
      <c r="R61" s="162">
        <f t="shared" si="23"/>
        <v>2136</v>
      </c>
      <c r="S61" s="162">
        <f t="shared" si="28"/>
        <v>0</v>
      </c>
      <c r="T61" s="162">
        <v>712</v>
      </c>
      <c r="U61" s="205">
        <v>712</v>
      </c>
      <c r="V61" s="162">
        <f>Q61+T61</f>
        <v>2848</v>
      </c>
      <c r="W61" s="162">
        <f t="shared" si="8"/>
        <v>2848</v>
      </c>
      <c r="X61" s="162">
        <f t="shared" si="9"/>
        <v>0</v>
      </c>
      <c r="Y61" s="162">
        <v>712</v>
      </c>
      <c r="Z61" s="162">
        <v>712</v>
      </c>
      <c r="AA61" s="162"/>
      <c r="AB61" s="162">
        <f t="shared" si="10"/>
        <v>3560</v>
      </c>
      <c r="AC61" s="162">
        <f t="shared" si="11"/>
        <v>3560</v>
      </c>
      <c r="AD61" s="162">
        <f t="shared" si="12"/>
        <v>0</v>
      </c>
      <c r="AE61" s="162">
        <v>712</v>
      </c>
      <c r="AF61" s="158">
        <v>8455.391</v>
      </c>
      <c r="AG61" s="158">
        <v>4272</v>
      </c>
      <c r="AH61" s="167">
        <f t="shared" si="17"/>
        <v>50.52397931686424</v>
      </c>
      <c r="AI61" s="257"/>
    </row>
    <row r="62" spans="1:35" ht="15.75">
      <c r="A62" s="198" t="s">
        <v>128</v>
      </c>
      <c r="B62" s="158" t="s">
        <v>363</v>
      </c>
      <c r="C62" s="176" t="s">
        <v>249</v>
      </c>
      <c r="D62" s="162">
        <v>3395.31</v>
      </c>
      <c r="E62" s="158">
        <v>3599.0286</v>
      </c>
      <c r="F62" s="162">
        <v>313.564</v>
      </c>
      <c r="G62" s="162">
        <v>318.493</v>
      </c>
      <c r="H62" s="162">
        <f t="shared" si="0"/>
        <v>4.928999999999974</v>
      </c>
      <c r="I62" s="162">
        <v>313.564</v>
      </c>
      <c r="J62" s="162">
        <v>318.683</v>
      </c>
      <c r="K62" s="162">
        <f t="shared" si="1"/>
        <v>5.118999999999971</v>
      </c>
      <c r="L62" s="162">
        <f t="shared" si="2"/>
        <v>627.128</v>
      </c>
      <c r="M62" s="162">
        <f t="shared" si="3"/>
        <v>637.1759999999999</v>
      </c>
      <c r="N62" s="162">
        <f t="shared" si="4"/>
        <v>10.047999999999888</v>
      </c>
      <c r="O62" s="162">
        <v>313.564</v>
      </c>
      <c r="P62" s="162">
        <v>318.68</v>
      </c>
      <c r="Q62" s="162">
        <f t="shared" si="22"/>
        <v>940.692</v>
      </c>
      <c r="R62" s="162">
        <f t="shared" si="23"/>
        <v>955.856</v>
      </c>
      <c r="S62" s="162">
        <f t="shared" si="28"/>
        <v>15.163999999999987</v>
      </c>
      <c r="T62" s="162">
        <v>313.564</v>
      </c>
      <c r="U62" s="205">
        <v>318.683</v>
      </c>
      <c r="V62" s="162">
        <v>1274.53</v>
      </c>
      <c r="W62" s="162">
        <f t="shared" si="8"/>
        <v>1274.539</v>
      </c>
      <c r="X62" s="162">
        <f t="shared" si="9"/>
        <v>0.009000000000014552</v>
      </c>
      <c r="Y62" s="162">
        <v>318.68</v>
      </c>
      <c r="Z62" s="162">
        <v>318.308</v>
      </c>
      <c r="AA62" s="162"/>
      <c r="AB62" s="162">
        <f t="shared" si="10"/>
        <v>1593.21</v>
      </c>
      <c r="AC62" s="162">
        <f t="shared" si="11"/>
        <v>1592.847</v>
      </c>
      <c r="AD62" s="162">
        <f t="shared" si="12"/>
        <v>-0.3630000000000564</v>
      </c>
      <c r="AE62" s="162">
        <v>318.68</v>
      </c>
      <c r="AF62" s="158">
        <v>3599.0286</v>
      </c>
      <c r="AG62" s="158">
        <v>1911.527</v>
      </c>
      <c r="AH62" s="167">
        <f t="shared" si="17"/>
        <v>53.112303692168496</v>
      </c>
      <c r="AI62" s="257"/>
    </row>
    <row r="63" spans="1:35" ht="15.75">
      <c r="A63" s="198" t="s">
        <v>129</v>
      </c>
      <c r="B63" s="175" t="s">
        <v>365</v>
      </c>
      <c r="C63" s="176" t="s">
        <v>249</v>
      </c>
      <c r="D63" s="162">
        <v>518.54</v>
      </c>
      <c r="E63" s="158">
        <v>549.6524</v>
      </c>
      <c r="F63" s="162"/>
      <c r="G63" s="162"/>
      <c r="H63" s="162">
        <f t="shared" si="0"/>
        <v>0</v>
      </c>
      <c r="I63" s="162">
        <f>49.1+38.5</f>
        <v>87.6</v>
      </c>
      <c r="J63" s="162">
        <v>49.41</v>
      </c>
      <c r="K63" s="162">
        <f t="shared" si="1"/>
        <v>-38.19</v>
      </c>
      <c r="L63" s="162">
        <f t="shared" si="2"/>
        <v>87.6</v>
      </c>
      <c r="M63" s="162">
        <f t="shared" si="3"/>
        <v>49.41</v>
      </c>
      <c r="N63" s="162">
        <f t="shared" si="4"/>
        <v>-38.19</v>
      </c>
      <c r="O63" s="162">
        <v>10</v>
      </c>
      <c r="P63" s="162"/>
      <c r="Q63" s="162">
        <f t="shared" si="22"/>
        <v>97.6</v>
      </c>
      <c r="R63" s="162">
        <f t="shared" si="23"/>
        <v>49.41</v>
      </c>
      <c r="S63" s="162">
        <f t="shared" si="28"/>
        <v>-48.19</v>
      </c>
      <c r="T63" s="162">
        <v>12.179</v>
      </c>
      <c r="U63" s="205">
        <v>44.642</v>
      </c>
      <c r="V63" s="162">
        <v>100.79</v>
      </c>
      <c r="W63" s="162">
        <f t="shared" si="8"/>
        <v>94.05199999999999</v>
      </c>
      <c r="X63" s="162">
        <f t="shared" si="9"/>
        <v>-6.738000000000014</v>
      </c>
      <c r="Y63" s="162"/>
      <c r="Z63" s="162"/>
      <c r="AA63" s="162"/>
      <c r="AB63" s="162">
        <f t="shared" si="10"/>
        <v>100.79</v>
      </c>
      <c r="AC63" s="162">
        <f t="shared" si="11"/>
        <v>94.05199999999999</v>
      </c>
      <c r="AD63" s="162">
        <f t="shared" si="12"/>
        <v>-6.738000000000014</v>
      </c>
      <c r="AE63" s="162">
        <v>11.07</v>
      </c>
      <c r="AF63" s="158">
        <v>549.6524</v>
      </c>
      <c r="AG63" s="158">
        <v>105.12199999999999</v>
      </c>
      <c r="AH63" s="167">
        <f t="shared" si="17"/>
        <v>19.12517802160056</v>
      </c>
      <c r="AI63" s="257"/>
    </row>
    <row r="64" spans="1:35" s="154" customFormat="1" ht="15.75">
      <c r="A64" s="171" t="s">
        <v>130</v>
      </c>
      <c r="B64" s="185" t="s">
        <v>317</v>
      </c>
      <c r="C64" s="160" t="s">
        <v>249</v>
      </c>
      <c r="D64" s="173">
        <f>D65+D66+D67+D68+D69+D70+D71+D72+D73+D75+D85</f>
        <v>9183.12275859813</v>
      </c>
      <c r="E64" s="173">
        <f aca="true" t="shared" si="30" ref="E64:O64">SUM(E65:E86)</f>
        <v>9774.469921400001</v>
      </c>
      <c r="F64" s="173">
        <f t="shared" si="30"/>
        <v>984.3845</v>
      </c>
      <c r="G64" s="173">
        <f t="shared" si="30"/>
        <v>134.517</v>
      </c>
      <c r="H64" s="173">
        <f t="shared" si="30"/>
        <v>-849.8675</v>
      </c>
      <c r="I64" s="173">
        <f t="shared" si="30"/>
        <v>930.3845</v>
      </c>
      <c r="J64" s="173">
        <f t="shared" si="30"/>
        <v>888.122</v>
      </c>
      <c r="K64" s="173">
        <f t="shared" si="30"/>
        <v>-42.26249999999996</v>
      </c>
      <c r="L64" s="173">
        <f t="shared" si="30"/>
        <v>1914.769</v>
      </c>
      <c r="M64" s="173">
        <f t="shared" si="30"/>
        <v>1015.679</v>
      </c>
      <c r="N64" s="173">
        <f t="shared" si="30"/>
        <v>-899.0899999999999</v>
      </c>
      <c r="O64" s="173">
        <f t="shared" si="30"/>
        <v>2168.1095</v>
      </c>
      <c r="P64" s="173">
        <f aca="true" t="shared" si="31" ref="P64:W64">SUM(P65:P86)</f>
        <v>409.442</v>
      </c>
      <c r="Q64" s="173">
        <f t="shared" si="31"/>
        <v>4082.8785</v>
      </c>
      <c r="R64" s="173">
        <f t="shared" si="31"/>
        <v>1432.085</v>
      </c>
      <c r="S64" s="173">
        <f t="shared" si="31"/>
        <v>-2650.7934999999998</v>
      </c>
      <c r="T64" s="173">
        <f t="shared" si="31"/>
        <v>1557.688</v>
      </c>
      <c r="U64" s="206">
        <f t="shared" si="31"/>
        <v>1404.949</v>
      </c>
      <c r="V64" s="173">
        <f t="shared" si="31"/>
        <v>3110.1400000000003</v>
      </c>
      <c r="W64" s="173">
        <f t="shared" si="31"/>
        <v>2845.5440000000003</v>
      </c>
      <c r="X64" s="173">
        <f aca="true" t="shared" si="32" ref="X64:AF64">SUM(X65:X86)</f>
        <v>-264.59599999999995</v>
      </c>
      <c r="Y64" s="173">
        <f t="shared" si="32"/>
        <v>1176.81</v>
      </c>
      <c r="Z64" s="173">
        <f t="shared" si="32"/>
        <v>617.305</v>
      </c>
      <c r="AA64" s="173">
        <f t="shared" si="32"/>
        <v>0</v>
      </c>
      <c r="AB64" s="173">
        <f t="shared" si="32"/>
        <v>4286.950000000001</v>
      </c>
      <c r="AC64" s="173">
        <f t="shared" si="32"/>
        <v>3462.849</v>
      </c>
      <c r="AD64" s="173">
        <f t="shared" si="32"/>
        <v>-824.101</v>
      </c>
      <c r="AE64" s="173">
        <f t="shared" si="32"/>
        <v>508.76000000000005</v>
      </c>
      <c r="AF64" s="173">
        <f t="shared" si="32"/>
        <v>9774.469921400001</v>
      </c>
      <c r="AG64" s="173">
        <v>3971.6090000000004</v>
      </c>
      <c r="AH64" s="164">
        <f t="shared" si="17"/>
        <v>40.63247451715669</v>
      </c>
      <c r="AI64" s="257"/>
    </row>
    <row r="65" spans="1:35" ht="15" customHeight="1" hidden="1">
      <c r="A65" s="198"/>
      <c r="B65" s="184" t="s">
        <v>335</v>
      </c>
      <c r="C65" s="176" t="s">
        <v>249</v>
      </c>
      <c r="D65" s="162">
        <f>315*1.06</f>
        <v>333.90000000000003</v>
      </c>
      <c r="E65" s="158">
        <v>353.934</v>
      </c>
      <c r="F65" s="162"/>
      <c r="G65" s="162"/>
      <c r="H65" s="162">
        <f aca="true" t="shared" si="33" ref="H65:H116">G65-F65</f>
        <v>0</v>
      </c>
      <c r="I65" s="162"/>
      <c r="J65" s="162"/>
      <c r="K65" s="162">
        <f t="shared" si="1"/>
        <v>0</v>
      </c>
      <c r="L65" s="162">
        <f aca="true" t="shared" si="34" ref="L65:L116">F65+I65</f>
        <v>0</v>
      </c>
      <c r="M65" s="162">
        <f aca="true" t="shared" si="35" ref="M65:M116">G65+J65</f>
        <v>0</v>
      </c>
      <c r="N65" s="162">
        <f aca="true" t="shared" si="36" ref="N65:N116">M65-L65</f>
        <v>0</v>
      </c>
      <c r="O65" s="162"/>
      <c r="P65" s="162"/>
      <c r="Q65" s="162">
        <f t="shared" si="22"/>
        <v>0</v>
      </c>
      <c r="R65" s="162">
        <f t="shared" si="23"/>
        <v>0</v>
      </c>
      <c r="S65" s="162">
        <f aca="true" t="shared" si="37" ref="S65:S86">R65-Q65</f>
        <v>0</v>
      </c>
      <c r="T65" s="162">
        <v>414</v>
      </c>
      <c r="U65" s="205"/>
      <c r="V65" s="162"/>
      <c r="W65" s="162">
        <f t="shared" si="8"/>
        <v>0</v>
      </c>
      <c r="X65" s="162">
        <f t="shared" si="9"/>
        <v>0</v>
      </c>
      <c r="Y65" s="162">
        <v>395.25</v>
      </c>
      <c r="Z65" s="162"/>
      <c r="AA65" s="162"/>
      <c r="AB65" s="162">
        <f t="shared" si="10"/>
        <v>395.25</v>
      </c>
      <c r="AC65" s="162">
        <f t="shared" si="11"/>
        <v>0</v>
      </c>
      <c r="AD65" s="162">
        <f t="shared" si="12"/>
        <v>-395.25</v>
      </c>
      <c r="AE65" s="162"/>
      <c r="AF65" s="158">
        <v>353.934</v>
      </c>
      <c r="AG65" s="158">
        <v>0</v>
      </c>
      <c r="AH65" s="167">
        <f t="shared" si="17"/>
        <v>0</v>
      </c>
      <c r="AI65" s="257"/>
    </row>
    <row r="66" spans="1:35" ht="15" customHeight="1" hidden="1">
      <c r="A66" s="198"/>
      <c r="B66" s="184" t="s">
        <v>336</v>
      </c>
      <c r="C66" s="176" t="s">
        <v>249</v>
      </c>
      <c r="D66" s="162">
        <f>4074.08614/1.07*1.06</f>
        <v>4036.0105685981307</v>
      </c>
      <c r="E66" s="158">
        <v>4318.531</v>
      </c>
      <c r="F66" s="162">
        <v>23.92</v>
      </c>
      <c r="G66" s="158">
        <v>23.92</v>
      </c>
      <c r="H66" s="162">
        <f t="shared" si="33"/>
        <v>0</v>
      </c>
      <c r="I66" s="162">
        <v>23.92</v>
      </c>
      <c r="J66" s="162">
        <v>46.206</v>
      </c>
      <c r="K66" s="162">
        <f t="shared" si="1"/>
        <v>22.286</v>
      </c>
      <c r="L66" s="162">
        <f t="shared" si="34"/>
        <v>47.84</v>
      </c>
      <c r="M66" s="162">
        <f t="shared" si="35"/>
        <v>70.126</v>
      </c>
      <c r="N66" s="162">
        <f t="shared" si="36"/>
        <v>22.286</v>
      </c>
      <c r="O66" s="162">
        <v>23.92</v>
      </c>
      <c r="P66" s="162">
        <v>23.92</v>
      </c>
      <c r="Q66" s="162">
        <f t="shared" si="22"/>
        <v>71.76</v>
      </c>
      <c r="R66" s="162">
        <f t="shared" si="23"/>
        <v>94.046</v>
      </c>
      <c r="S66" s="162">
        <f t="shared" si="37"/>
        <v>22.286</v>
      </c>
      <c r="T66" s="162">
        <v>23.92</v>
      </c>
      <c r="U66" s="205">
        <v>23.92</v>
      </c>
      <c r="V66" s="162">
        <v>117.97</v>
      </c>
      <c r="W66" s="162">
        <f t="shared" si="8"/>
        <v>117.96600000000001</v>
      </c>
      <c r="X66" s="162">
        <f t="shared" si="9"/>
        <v>-0.003999999999990678</v>
      </c>
      <c r="Y66" s="162">
        <v>23.92</v>
      </c>
      <c r="Z66" s="162">
        <v>23.92</v>
      </c>
      <c r="AA66" s="162"/>
      <c r="AB66" s="162">
        <f t="shared" si="10"/>
        <v>141.89</v>
      </c>
      <c r="AC66" s="162">
        <f t="shared" si="11"/>
        <v>141.88600000000002</v>
      </c>
      <c r="AD66" s="162">
        <f t="shared" si="12"/>
        <v>-0.003999999999962256</v>
      </c>
      <c r="AE66" s="162">
        <v>23.92</v>
      </c>
      <c r="AF66" s="158">
        <v>4318.531</v>
      </c>
      <c r="AG66" s="158">
        <v>165.80600000000004</v>
      </c>
      <c r="AH66" s="167">
        <f t="shared" si="17"/>
        <v>3.83940742812776</v>
      </c>
      <c r="AI66" s="257"/>
    </row>
    <row r="67" spans="1:35" ht="15" customHeight="1" hidden="1">
      <c r="A67" s="198"/>
      <c r="B67" s="184" t="s">
        <v>19</v>
      </c>
      <c r="C67" s="176" t="s">
        <v>249</v>
      </c>
      <c r="D67" s="162">
        <v>2800.6</v>
      </c>
      <c r="E67" s="158">
        <v>2968.636</v>
      </c>
      <c r="F67" s="162">
        <v>728.0345</v>
      </c>
      <c r="G67" s="158"/>
      <c r="H67" s="162">
        <f t="shared" si="33"/>
        <v>-728.0345</v>
      </c>
      <c r="I67" s="162">
        <v>728.0345</v>
      </c>
      <c r="J67" s="162">
        <v>408.512</v>
      </c>
      <c r="K67" s="162">
        <f t="shared" si="1"/>
        <v>-319.5225</v>
      </c>
      <c r="L67" s="162">
        <f t="shared" si="34"/>
        <v>1456.069</v>
      </c>
      <c r="M67" s="162">
        <f t="shared" si="35"/>
        <v>408.512</v>
      </c>
      <c r="N67" s="162">
        <f t="shared" si="36"/>
        <v>-1047.557</v>
      </c>
      <c r="O67" s="162">
        <v>728.0345</v>
      </c>
      <c r="P67" s="162">
        <v>112.325</v>
      </c>
      <c r="Q67" s="162">
        <f t="shared" si="22"/>
        <v>2184.1035</v>
      </c>
      <c r="R67" s="162">
        <f t="shared" si="23"/>
        <v>520.837</v>
      </c>
      <c r="S67" s="162">
        <f t="shared" si="37"/>
        <v>-1663.2665000000002</v>
      </c>
      <c r="T67" s="162">
        <v>728.0345</v>
      </c>
      <c r="U67" s="205">
        <v>39.353</v>
      </c>
      <c r="V67" s="162">
        <v>560.19</v>
      </c>
      <c r="W67" s="162">
        <f aca="true" t="shared" si="38" ref="W67:W116">R67+U67</f>
        <v>560.1899999999999</v>
      </c>
      <c r="X67" s="162">
        <f aca="true" t="shared" si="39" ref="X67:X116">W67-V67</f>
        <v>0</v>
      </c>
      <c r="Y67" s="162">
        <v>267.6</v>
      </c>
      <c r="Z67" s="162">
        <v>365.518</v>
      </c>
      <c r="AA67" s="162"/>
      <c r="AB67" s="162">
        <f t="shared" si="10"/>
        <v>827.7900000000001</v>
      </c>
      <c r="AC67" s="162">
        <f t="shared" si="11"/>
        <v>925.7079999999999</v>
      </c>
      <c r="AD67" s="162">
        <f t="shared" si="12"/>
        <v>97.91799999999978</v>
      </c>
      <c r="AE67" s="162">
        <v>267.6</v>
      </c>
      <c r="AF67" s="158">
        <v>2968.636</v>
      </c>
      <c r="AG67" s="158">
        <v>1193.308</v>
      </c>
      <c r="AH67" s="167">
        <f t="shared" si="17"/>
        <v>40.19718146650516</v>
      </c>
      <c r="AI67" s="257"/>
    </row>
    <row r="68" spans="1:35" ht="15" customHeight="1" hidden="1">
      <c r="A68" s="198"/>
      <c r="B68" s="158" t="s">
        <v>241</v>
      </c>
      <c r="C68" s="176" t="s">
        <v>249</v>
      </c>
      <c r="D68" s="162">
        <v>47.7</v>
      </c>
      <c r="E68" s="158">
        <v>50.562000000000005</v>
      </c>
      <c r="F68" s="162">
        <v>54</v>
      </c>
      <c r="G68" s="158">
        <v>54</v>
      </c>
      <c r="H68" s="162">
        <f t="shared" si="33"/>
        <v>0</v>
      </c>
      <c r="I68" s="162"/>
      <c r="J68" s="162"/>
      <c r="K68" s="162">
        <f aca="true" t="shared" si="40" ref="K68:K116">J68-I68</f>
        <v>0</v>
      </c>
      <c r="L68" s="162">
        <f t="shared" si="34"/>
        <v>54</v>
      </c>
      <c r="M68" s="162">
        <f t="shared" si="35"/>
        <v>54</v>
      </c>
      <c r="N68" s="162">
        <f t="shared" si="36"/>
        <v>0</v>
      </c>
      <c r="O68" s="162"/>
      <c r="P68" s="162"/>
      <c r="Q68" s="162">
        <f t="shared" si="22"/>
        <v>54</v>
      </c>
      <c r="R68" s="162">
        <f t="shared" si="23"/>
        <v>54</v>
      </c>
      <c r="S68" s="162">
        <f t="shared" si="37"/>
        <v>0</v>
      </c>
      <c r="T68" s="162"/>
      <c r="U68" s="205"/>
      <c r="V68" s="162">
        <f>Q68+T68</f>
        <v>54</v>
      </c>
      <c r="W68" s="162">
        <f t="shared" si="38"/>
        <v>54</v>
      </c>
      <c r="X68" s="162">
        <f t="shared" si="39"/>
        <v>0</v>
      </c>
      <c r="Y68" s="162"/>
      <c r="Z68" s="162"/>
      <c r="AA68" s="162"/>
      <c r="AB68" s="162">
        <f t="shared" si="10"/>
        <v>54</v>
      </c>
      <c r="AC68" s="162">
        <f t="shared" si="11"/>
        <v>54</v>
      </c>
      <c r="AD68" s="162">
        <f t="shared" si="12"/>
        <v>0</v>
      </c>
      <c r="AE68" s="162"/>
      <c r="AF68" s="158">
        <v>50.562000000000005</v>
      </c>
      <c r="AG68" s="158">
        <v>54</v>
      </c>
      <c r="AH68" s="167">
        <f t="shared" si="17"/>
        <v>106.79957280170878</v>
      </c>
      <c r="AI68" s="257"/>
    </row>
    <row r="69" spans="1:35" ht="15" customHeight="1" hidden="1">
      <c r="A69" s="189"/>
      <c r="B69" s="158" t="s">
        <v>131</v>
      </c>
      <c r="C69" s="176" t="s">
        <v>249</v>
      </c>
      <c r="D69" s="162">
        <v>150.51</v>
      </c>
      <c r="E69" s="158">
        <v>159.5406</v>
      </c>
      <c r="F69" s="162"/>
      <c r="G69" s="158">
        <v>10.437</v>
      </c>
      <c r="H69" s="162">
        <f t="shared" si="33"/>
        <v>10.437</v>
      </c>
      <c r="I69" s="162"/>
      <c r="J69" s="162">
        <v>4.574</v>
      </c>
      <c r="K69" s="162">
        <f t="shared" si="40"/>
        <v>4.574</v>
      </c>
      <c r="L69" s="162">
        <f t="shared" si="34"/>
        <v>0</v>
      </c>
      <c r="M69" s="162">
        <f t="shared" si="35"/>
        <v>15.011</v>
      </c>
      <c r="N69" s="162">
        <f t="shared" si="36"/>
        <v>15.011</v>
      </c>
      <c r="O69" s="162"/>
      <c r="P69" s="162">
        <v>2.215</v>
      </c>
      <c r="Q69" s="162">
        <f t="shared" si="22"/>
        <v>0</v>
      </c>
      <c r="R69" s="162">
        <f t="shared" si="23"/>
        <v>17.226</v>
      </c>
      <c r="S69" s="162">
        <f t="shared" si="37"/>
        <v>17.226</v>
      </c>
      <c r="T69" s="162"/>
      <c r="U69" s="205">
        <v>70.07</v>
      </c>
      <c r="V69" s="162">
        <v>87.3</v>
      </c>
      <c r="W69" s="162">
        <f t="shared" si="38"/>
        <v>87.29599999999999</v>
      </c>
      <c r="X69" s="162">
        <f t="shared" si="39"/>
        <v>-0.0040000000000048885</v>
      </c>
      <c r="Y69" s="162"/>
      <c r="Z69" s="162">
        <v>227.867</v>
      </c>
      <c r="AA69" s="162"/>
      <c r="AB69" s="162">
        <f aca="true" t="shared" si="41" ref="AB69:AB116">V69+Y69</f>
        <v>87.3</v>
      </c>
      <c r="AC69" s="162">
        <f aca="true" t="shared" si="42" ref="AC69:AC116">W69+Z69</f>
        <v>315.163</v>
      </c>
      <c r="AD69" s="162">
        <f aca="true" t="shared" si="43" ref="AD69:AD116">AC69-AB69</f>
        <v>227.863</v>
      </c>
      <c r="AE69" s="162"/>
      <c r="AF69" s="158">
        <v>159.5406</v>
      </c>
      <c r="AG69" s="158">
        <v>315.163</v>
      </c>
      <c r="AH69" s="167">
        <f t="shared" si="17"/>
        <v>197.5440734208095</v>
      </c>
      <c r="AI69" s="257"/>
    </row>
    <row r="70" spans="1:35" ht="15" customHeight="1" hidden="1">
      <c r="A70" s="189"/>
      <c r="B70" s="184" t="s">
        <v>132</v>
      </c>
      <c r="C70" s="176" t="s">
        <v>249</v>
      </c>
      <c r="D70" s="162">
        <v>142.36</v>
      </c>
      <c r="E70" s="158">
        <v>150.90160000000003</v>
      </c>
      <c r="F70" s="162"/>
      <c r="G70" s="158"/>
      <c r="H70" s="162">
        <f t="shared" si="33"/>
        <v>0</v>
      </c>
      <c r="I70" s="162"/>
      <c r="J70" s="162">
        <v>83.03</v>
      </c>
      <c r="K70" s="162">
        <f t="shared" si="40"/>
        <v>83.03</v>
      </c>
      <c r="L70" s="162">
        <f t="shared" si="34"/>
        <v>0</v>
      </c>
      <c r="M70" s="162">
        <f t="shared" si="35"/>
        <v>83.03</v>
      </c>
      <c r="N70" s="162">
        <f t="shared" si="36"/>
        <v>83.03</v>
      </c>
      <c r="O70" s="162">
        <v>37.725</v>
      </c>
      <c r="P70" s="162">
        <v>90.508</v>
      </c>
      <c r="Q70" s="162">
        <f t="shared" si="22"/>
        <v>37.725</v>
      </c>
      <c r="R70" s="162">
        <f>M70+P70+I70</f>
        <v>173.538</v>
      </c>
      <c r="S70" s="162">
        <f t="shared" si="37"/>
        <v>135.81300000000002</v>
      </c>
      <c r="T70" s="162"/>
      <c r="U70" s="205"/>
      <c r="V70" s="162">
        <v>173.54</v>
      </c>
      <c r="W70" s="162">
        <f>R70+U70</f>
        <v>173.538</v>
      </c>
      <c r="X70" s="162">
        <f t="shared" si="39"/>
        <v>-0.001999999999981128</v>
      </c>
      <c r="Y70" s="162"/>
      <c r="Z70" s="162"/>
      <c r="AA70" s="162"/>
      <c r="AB70" s="162">
        <f t="shared" si="41"/>
        <v>173.54</v>
      </c>
      <c r="AC70" s="162">
        <f t="shared" si="42"/>
        <v>173.538</v>
      </c>
      <c r="AD70" s="162">
        <f t="shared" si="43"/>
        <v>-0.001999999999981128</v>
      </c>
      <c r="AE70" s="162"/>
      <c r="AF70" s="158">
        <v>150.90160000000003</v>
      </c>
      <c r="AG70" s="158">
        <v>173.538</v>
      </c>
      <c r="AH70" s="167">
        <f t="shared" si="17"/>
        <v>115.00076871285658</v>
      </c>
      <c r="AI70" s="257"/>
    </row>
    <row r="71" spans="1:35" ht="15" customHeight="1" hidden="1">
      <c r="A71" s="189"/>
      <c r="B71" s="184" t="s">
        <v>133</v>
      </c>
      <c r="C71" s="176" t="s">
        <v>249</v>
      </c>
      <c r="D71" s="162">
        <v>193.64</v>
      </c>
      <c r="E71" s="158">
        <v>205.2584</v>
      </c>
      <c r="F71" s="162"/>
      <c r="G71" s="158"/>
      <c r="H71" s="162">
        <f t="shared" si="33"/>
        <v>0</v>
      </c>
      <c r="I71" s="162"/>
      <c r="J71" s="162"/>
      <c r="K71" s="162">
        <f t="shared" si="40"/>
        <v>0</v>
      </c>
      <c r="L71" s="162">
        <f t="shared" si="34"/>
        <v>0</v>
      </c>
      <c r="M71" s="162">
        <f t="shared" si="35"/>
        <v>0</v>
      </c>
      <c r="N71" s="162">
        <f t="shared" si="36"/>
        <v>0</v>
      </c>
      <c r="O71" s="162"/>
      <c r="P71" s="162"/>
      <c r="Q71" s="162">
        <f t="shared" si="22"/>
        <v>0</v>
      </c>
      <c r="R71" s="162">
        <f t="shared" si="23"/>
        <v>0</v>
      </c>
      <c r="S71" s="162">
        <f t="shared" si="37"/>
        <v>0</v>
      </c>
      <c r="T71" s="162">
        <v>213.3035</v>
      </c>
      <c r="U71" s="205">
        <v>200.178</v>
      </c>
      <c r="V71" s="162">
        <v>200.18</v>
      </c>
      <c r="W71" s="162">
        <f t="shared" si="38"/>
        <v>200.178</v>
      </c>
      <c r="X71" s="162">
        <f t="shared" si="39"/>
        <v>-0.0020000000000095497</v>
      </c>
      <c r="Y71" s="162"/>
      <c r="Z71" s="162"/>
      <c r="AA71" s="162"/>
      <c r="AB71" s="162">
        <f t="shared" si="41"/>
        <v>200.18</v>
      </c>
      <c r="AC71" s="162">
        <f t="shared" si="42"/>
        <v>200.178</v>
      </c>
      <c r="AD71" s="162">
        <f t="shared" si="43"/>
        <v>-0.0020000000000095497</v>
      </c>
      <c r="AE71" s="162"/>
      <c r="AF71" s="158">
        <v>205.2584</v>
      </c>
      <c r="AG71" s="158">
        <v>200.178</v>
      </c>
      <c r="AH71" s="167">
        <f t="shared" si="17"/>
        <v>97.52487596122741</v>
      </c>
      <c r="AI71" s="257"/>
    </row>
    <row r="72" spans="1:35" ht="15" customHeight="1" hidden="1">
      <c r="A72" s="189"/>
      <c r="B72" s="184" t="s">
        <v>134</v>
      </c>
      <c r="C72" s="176" t="s">
        <v>249</v>
      </c>
      <c r="D72" s="162">
        <v>454.285</v>
      </c>
      <c r="E72" s="158">
        <v>481.54210000000006</v>
      </c>
      <c r="F72" s="162"/>
      <c r="G72" s="158"/>
      <c r="H72" s="162">
        <f t="shared" si="33"/>
        <v>0</v>
      </c>
      <c r="I72" s="162"/>
      <c r="J72" s="162"/>
      <c r="K72" s="162">
        <f t="shared" si="40"/>
        <v>0</v>
      </c>
      <c r="L72" s="162">
        <f t="shared" si="34"/>
        <v>0</v>
      </c>
      <c r="M72" s="162">
        <f t="shared" si="35"/>
        <v>0</v>
      </c>
      <c r="N72" s="162">
        <f t="shared" si="36"/>
        <v>0</v>
      </c>
      <c r="O72" s="162"/>
      <c r="P72" s="162"/>
      <c r="Q72" s="162">
        <f t="shared" si="22"/>
        <v>0</v>
      </c>
      <c r="R72" s="162">
        <f t="shared" si="23"/>
        <v>0</v>
      </c>
      <c r="S72" s="162">
        <f t="shared" si="37"/>
        <v>0</v>
      </c>
      <c r="T72" s="162"/>
      <c r="U72" s="205"/>
      <c r="V72" s="162">
        <f>Q72+T72</f>
        <v>0</v>
      </c>
      <c r="W72" s="162">
        <f t="shared" si="38"/>
        <v>0</v>
      </c>
      <c r="X72" s="162">
        <f t="shared" si="39"/>
        <v>0</v>
      </c>
      <c r="Y72" s="162">
        <v>265.18</v>
      </c>
      <c r="Z72" s="162"/>
      <c r="AA72" s="162"/>
      <c r="AB72" s="162">
        <f t="shared" si="41"/>
        <v>265.18</v>
      </c>
      <c r="AC72" s="162">
        <f t="shared" si="42"/>
        <v>0</v>
      </c>
      <c r="AD72" s="162">
        <f t="shared" si="43"/>
        <v>-265.18</v>
      </c>
      <c r="AE72" s="162"/>
      <c r="AF72" s="158">
        <v>481.54210000000006</v>
      </c>
      <c r="AG72" s="158">
        <v>0</v>
      </c>
      <c r="AH72" s="167">
        <f aca="true" t="shared" si="44" ref="AH72:AH123">AG72/AF72*100</f>
        <v>0</v>
      </c>
      <c r="AI72" s="257"/>
    </row>
    <row r="73" spans="1:35" ht="15" customHeight="1" hidden="1">
      <c r="A73" s="189"/>
      <c r="B73" s="184" t="s">
        <v>135</v>
      </c>
      <c r="C73" s="176" t="s">
        <v>249</v>
      </c>
      <c r="D73" s="162">
        <f>700.6788/1.07*1.06</f>
        <v>694.1304000000001</v>
      </c>
      <c r="E73" s="158">
        <v>735.7782240000001</v>
      </c>
      <c r="F73" s="162"/>
      <c r="G73" s="158"/>
      <c r="H73" s="162">
        <f t="shared" si="33"/>
        <v>0</v>
      </c>
      <c r="I73" s="162"/>
      <c r="J73" s="162"/>
      <c r="K73" s="162">
        <f t="shared" si="40"/>
        <v>0</v>
      </c>
      <c r="L73" s="162">
        <f t="shared" si="34"/>
        <v>0</v>
      </c>
      <c r="M73" s="162">
        <f t="shared" si="35"/>
        <v>0</v>
      </c>
      <c r="N73" s="162">
        <f t="shared" si="36"/>
        <v>0</v>
      </c>
      <c r="O73" s="162"/>
      <c r="P73" s="162"/>
      <c r="Q73" s="162">
        <f t="shared" si="22"/>
        <v>0</v>
      </c>
      <c r="R73" s="162">
        <f t="shared" si="23"/>
        <v>0</v>
      </c>
      <c r="S73" s="162">
        <f t="shared" si="37"/>
        <v>0</v>
      </c>
      <c r="T73" s="162"/>
      <c r="U73" s="205"/>
      <c r="V73" s="162">
        <f>Q73+T73</f>
        <v>0</v>
      </c>
      <c r="W73" s="162">
        <f t="shared" si="38"/>
        <v>0</v>
      </c>
      <c r="X73" s="162">
        <f t="shared" si="39"/>
        <v>0</v>
      </c>
      <c r="Y73" s="162"/>
      <c r="Z73" s="162"/>
      <c r="AA73" s="162"/>
      <c r="AB73" s="162">
        <f t="shared" si="41"/>
        <v>0</v>
      </c>
      <c r="AC73" s="162">
        <f t="shared" si="42"/>
        <v>0</v>
      </c>
      <c r="AD73" s="162">
        <f t="shared" si="43"/>
        <v>0</v>
      </c>
      <c r="AE73" s="162"/>
      <c r="AF73" s="158">
        <v>735.7782240000001</v>
      </c>
      <c r="AG73" s="158">
        <v>0</v>
      </c>
      <c r="AH73" s="167">
        <f t="shared" si="44"/>
        <v>0</v>
      </c>
      <c r="AI73" s="257"/>
    </row>
    <row r="74" spans="1:35" ht="15" customHeight="1" hidden="1">
      <c r="A74" s="189"/>
      <c r="B74" s="158" t="s">
        <v>136</v>
      </c>
      <c r="C74" s="176" t="s">
        <v>249</v>
      </c>
      <c r="D74" s="162">
        <v>0</v>
      </c>
      <c r="E74" s="158"/>
      <c r="F74" s="162"/>
      <c r="G74" s="158"/>
      <c r="H74" s="162">
        <f t="shared" si="33"/>
        <v>0</v>
      </c>
      <c r="I74" s="162"/>
      <c r="J74" s="162"/>
      <c r="K74" s="162">
        <f t="shared" si="40"/>
        <v>0</v>
      </c>
      <c r="L74" s="162">
        <f t="shared" si="34"/>
        <v>0</v>
      </c>
      <c r="M74" s="162">
        <f t="shared" si="35"/>
        <v>0</v>
      </c>
      <c r="N74" s="162">
        <f t="shared" si="36"/>
        <v>0</v>
      </c>
      <c r="O74" s="162"/>
      <c r="P74" s="162"/>
      <c r="Q74" s="162">
        <f t="shared" si="22"/>
        <v>0</v>
      </c>
      <c r="R74" s="162">
        <f t="shared" si="23"/>
        <v>0</v>
      </c>
      <c r="S74" s="162">
        <f t="shared" si="37"/>
        <v>0</v>
      </c>
      <c r="T74" s="162"/>
      <c r="U74" s="205"/>
      <c r="V74" s="162">
        <f>Q74+T74</f>
        <v>0</v>
      </c>
      <c r="W74" s="162">
        <f t="shared" si="38"/>
        <v>0</v>
      </c>
      <c r="X74" s="162">
        <f t="shared" si="39"/>
        <v>0</v>
      </c>
      <c r="Y74" s="162"/>
      <c r="Z74" s="162"/>
      <c r="AA74" s="162"/>
      <c r="AB74" s="162">
        <f t="shared" si="41"/>
        <v>0</v>
      </c>
      <c r="AC74" s="162">
        <f t="shared" si="42"/>
        <v>0</v>
      </c>
      <c r="AD74" s="162">
        <f t="shared" si="43"/>
        <v>0</v>
      </c>
      <c r="AE74" s="162"/>
      <c r="AF74" s="158"/>
      <c r="AG74" s="158">
        <v>0</v>
      </c>
      <c r="AH74" s="167"/>
      <c r="AI74" s="257"/>
    </row>
    <row r="75" spans="1:35" ht="15" customHeight="1" hidden="1">
      <c r="A75" s="189"/>
      <c r="B75" s="158" t="s">
        <v>137</v>
      </c>
      <c r="C75" s="176" t="s">
        <v>249</v>
      </c>
      <c r="D75" s="162">
        <v>247.46</v>
      </c>
      <c r="E75" s="158">
        <v>262.30760000000004</v>
      </c>
      <c r="F75" s="162">
        <v>43.72</v>
      </c>
      <c r="G75" s="158"/>
      <c r="H75" s="162">
        <f t="shared" si="33"/>
        <v>-43.72</v>
      </c>
      <c r="I75" s="162">
        <v>43.72</v>
      </c>
      <c r="J75" s="162">
        <v>40.8</v>
      </c>
      <c r="K75" s="162">
        <f t="shared" si="40"/>
        <v>-2.9200000000000017</v>
      </c>
      <c r="L75" s="162">
        <f t="shared" si="34"/>
        <v>87.44</v>
      </c>
      <c r="M75" s="162">
        <f t="shared" si="35"/>
        <v>40.8</v>
      </c>
      <c r="N75" s="162">
        <f t="shared" si="36"/>
        <v>-46.64</v>
      </c>
      <c r="O75" s="162">
        <v>43.72</v>
      </c>
      <c r="P75" s="162"/>
      <c r="Q75" s="162">
        <f t="shared" si="22"/>
        <v>131.16</v>
      </c>
      <c r="R75" s="162">
        <f t="shared" si="23"/>
        <v>40.8</v>
      </c>
      <c r="S75" s="162">
        <f t="shared" si="37"/>
        <v>-90.36</v>
      </c>
      <c r="T75" s="162">
        <v>43.72</v>
      </c>
      <c r="U75" s="205"/>
      <c r="V75" s="162">
        <v>128.24</v>
      </c>
      <c r="W75" s="162">
        <f t="shared" si="38"/>
        <v>40.8</v>
      </c>
      <c r="X75" s="162">
        <f t="shared" si="39"/>
        <v>-87.44000000000001</v>
      </c>
      <c r="Y75" s="162"/>
      <c r="Z75" s="162"/>
      <c r="AA75" s="162"/>
      <c r="AB75" s="162">
        <f t="shared" si="41"/>
        <v>128.24</v>
      </c>
      <c r="AC75" s="162">
        <f t="shared" si="42"/>
        <v>40.8</v>
      </c>
      <c r="AD75" s="162">
        <f t="shared" si="43"/>
        <v>-87.44000000000001</v>
      </c>
      <c r="AE75" s="162"/>
      <c r="AF75" s="158">
        <v>262.30760000000004</v>
      </c>
      <c r="AG75" s="158">
        <v>40.8</v>
      </c>
      <c r="AH75" s="167"/>
      <c r="AI75" s="257"/>
    </row>
    <row r="76" spans="1:35" ht="15" customHeight="1" hidden="1">
      <c r="A76" s="189"/>
      <c r="B76" s="158" t="s">
        <v>138</v>
      </c>
      <c r="C76" s="176" t="s">
        <v>249</v>
      </c>
      <c r="D76" s="162"/>
      <c r="E76" s="158"/>
      <c r="F76" s="162"/>
      <c r="G76" s="158"/>
      <c r="H76" s="162">
        <f t="shared" si="33"/>
        <v>0</v>
      </c>
      <c r="I76" s="162"/>
      <c r="J76" s="162"/>
      <c r="K76" s="162">
        <f t="shared" si="40"/>
        <v>0</v>
      </c>
      <c r="L76" s="162">
        <f t="shared" si="34"/>
        <v>0</v>
      </c>
      <c r="M76" s="162">
        <f t="shared" si="35"/>
        <v>0</v>
      </c>
      <c r="N76" s="162">
        <f t="shared" si="36"/>
        <v>0</v>
      </c>
      <c r="O76" s="162">
        <v>1200</v>
      </c>
      <c r="P76" s="162"/>
      <c r="Q76" s="162">
        <f t="shared" si="22"/>
        <v>1200</v>
      </c>
      <c r="R76" s="162">
        <f t="shared" si="23"/>
        <v>0</v>
      </c>
      <c r="S76" s="162">
        <f t="shared" si="37"/>
        <v>-1200</v>
      </c>
      <c r="T76" s="162"/>
      <c r="U76" s="205">
        <v>1071.428</v>
      </c>
      <c r="V76" s="162">
        <v>1071.43</v>
      </c>
      <c r="W76" s="162">
        <f t="shared" si="38"/>
        <v>1071.428</v>
      </c>
      <c r="X76" s="162">
        <f t="shared" si="39"/>
        <v>-0.0019999999999527063</v>
      </c>
      <c r="Y76" s="162"/>
      <c r="Z76" s="162"/>
      <c r="AA76" s="162"/>
      <c r="AB76" s="162">
        <f t="shared" si="41"/>
        <v>1071.43</v>
      </c>
      <c r="AC76" s="162">
        <f t="shared" si="42"/>
        <v>1071.428</v>
      </c>
      <c r="AD76" s="162">
        <f t="shared" si="43"/>
        <v>-0.0019999999999527063</v>
      </c>
      <c r="AE76" s="162"/>
      <c r="AF76" s="158"/>
      <c r="AG76" s="158">
        <v>1071.428</v>
      </c>
      <c r="AH76" s="167"/>
      <c r="AI76" s="257"/>
    </row>
    <row r="77" spans="1:35" ht="15" customHeight="1" hidden="1">
      <c r="A77" s="189"/>
      <c r="B77" s="158" t="s">
        <v>139</v>
      </c>
      <c r="C77" s="176" t="s">
        <v>249</v>
      </c>
      <c r="D77" s="162"/>
      <c r="E77" s="158"/>
      <c r="F77" s="162"/>
      <c r="G77" s="158"/>
      <c r="H77" s="162">
        <f t="shared" si="33"/>
        <v>0</v>
      </c>
      <c r="I77" s="162"/>
      <c r="J77" s="162"/>
      <c r="K77" s="162">
        <f t="shared" si="40"/>
        <v>0</v>
      </c>
      <c r="L77" s="162">
        <f t="shared" si="34"/>
        <v>0</v>
      </c>
      <c r="M77" s="162">
        <f t="shared" si="35"/>
        <v>0</v>
      </c>
      <c r="N77" s="162">
        <f t="shared" si="36"/>
        <v>0</v>
      </c>
      <c r="O77" s="162"/>
      <c r="P77" s="162"/>
      <c r="Q77" s="162">
        <f t="shared" si="22"/>
        <v>0</v>
      </c>
      <c r="R77" s="162">
        <f t="shared" si="23"/>
        <v>0</v>
      </c>
      <c r="S77" s="162">
        <f t="shared" si="37"/>
        <v>0</v>
      </c>
      <c r="T77" s="162"/>
      <c r="U77" s="205"/>
      <c r="V77" s="162">
        <f>Q77+T77</f>
        <v>0</v>
      </c>
      <c r="W77" s="162">
        <f t="shared" si="38"/>
        <v>0</v>
      </c>
      <c r="X77" s="162">
        <f t="shared" si="39"/>
        <v>0</v>
      </c>
      <c r="Y77" s="162"/>
      <c r="Z77" s="162"/>
      <c r="AA77" s="162"/>
      <c r="AB77" s="162">
        <f t="shared" si="41"/>
        <v>0</v>
      </c>
      <c r="AC77" s="162">
        <f t="shared" si="42"/>
        <v>0</v>
      </c>
      <c r="AD77" s="162">
        <f t="shared" si="43"/>
        <v>0</v>
      </c>
      <c r="AE77" s="162"/>
      <c r="AF77" s="158"/>
      <c r="AG77" s="158">
        <v>0</v>
      </c>
      <c r="AH77" s="167"/>
      <c r="AI77" s="257"/>
    </row>
    <row r="78" spans="1:35" ht="15" customHeight="1" hidden="1">
      <c r="A78" s="189"/>
      <c r="B78" s="158" t="s">
        <v>412</v>
      </c>
      <c r="C78" s="176" t="s">
        <v>249</v>
      </c>
      <c r="D78" s="162"/>
      <c r="E78" s="158"/>
      <c r="F78" s="162"/>
      <c r="G78" s="158"/>
      <c r="H78" s="162">
        <f t="shared" si="33"/>
        <v>0</v>
      </c>
      <c r="I78" s="162"/>
      <c r="J78" s="162"/>
      <c r="K78" s="162">
        <f t="shared" si="40"/>
        <v>0</v>
      </c>
      <c r="L78" s="162">
        <f t="shared" si="34"/>
        <v>0</v>
      </c>
      <c r="M78" s="162">
        <f t="shared" si="35"/>
        <v>0</v>
      </c>
      <c r="N78" s="162">
        <f t="shared" si="36"/>
        <v>0</v>
      </c>
      <c r="O78" s="162"/>
      <c r="P78" s="162">
        <v>30.444</v>
      </c>
      <c r="Q78" s="162">
        <f t="shared" si="22"/>
        <v>0</v>
      </c>
      <c r="R78" s="162">
        <f>P78</f>
        <v>30.444</v>
      </c>
      <c r="S78" s="162">
        <f t="shared" si="37"/>
        <v>30.444</v>
      </c>
      <c r="T78" s="162"/>
      <c r="U78" s="205"/>
      <c r="V78" s="162">
        <v>240.72</v>
      </c>
      <c r="W78" s="162">
        <f t="shared" si="38"/>
        <v>30.444</v>
      </c>
      <c r="X78" s="162">
        <f t="shared" si="39"/>
        <v>-210.276</v>
      </c>
      <c r="Y78" s="162">
        <v>210.28</v>
      </c>
      <c r="Z78" s="162"/>
      <c r="AA78" s="162"/>
      <c r="AB78" s="162">
        <f t="shared" si="41"/>
        <v>451</v>
      </c>
      <c r="AC78" s="162">
        <f t="shared" si="42"/>
        <v>30.444</v>
      </c>
      <c r="AD78" s="162">
        <f t="shared" si="43"/>
        <v>-420.556</v>
      </c>
      <c r="AE78" s="162">
        <v>210.28</v>
      </c>
      <c r="AF78" s="158"/>
      <c r="AG78" s="158">
        <v>240.724</v>
      </c>
      <c r="AH78" s="167"/>
      <c r="AI78" s="257"/>
    </row>
    <row r="79" spans="1:35" ht="15" customHeight="1" hidden="1">
      <c r="A79" s="189"/>
      <c r="B79" s="158" t="s">
        <v>140</v>
      </c>
      <c r="C79" s="176" t="s">
        <v>249</v>
      </c>
      <c r="D79" s="162"/>
      <c r="E79" s="158"/>
      <c r="F79" s="162"/>
      <c r="G79" s="158"/>
      <c r="H79" s="162">
        <f t="shared" si="33"/>
        <v>0</v>
      </c>
      <c r="I79" s="162"/>
      <c r="J79" s="162"/>
      <c r="K79" s="162">
        <f t="shared" si="40"/>
        <v>0</v>
      </c>
      <c r="L79" s="162">
        <f t="shared" si="34"/>
        <v>0</v>
      </c>
      <c r="M79" s="162">
        <f t="shared" si="35"/>
        <v>0</v>
      </c>
      <c r="N79" s="162">
        <f t="shared" si="36"/>
        <v>0</v>
      </c>
      <c r="O79" s="162"/>
      <c r="P79" s="162"/>
      <c r="Q79" s="162">
        <f t="shared" si="22"/>
        <v>0</v>
      </c>
      <c r="R79" s="162">
        <f t="shared" si="23"/>
        <v>0</v>
      </c>
      <c r="S79" s="162">
        <f t="shared" si="37"/>
        <v>0</v>
      </c>
      <c r="T79" s="162"/>
      <c r="U79" s="205"/>
      <c r="V79" s="162">
        <f>Q79+T79</f>
        <v>0</v>
      </c>
      <c r="W79" s="162">
        <f t="shared" si="38"/>
        <v>0</v>
      </c>
      <c r="X79" s="162">
        <f t="shared" si="39"/>
        <v>0</v>
      </c>
      <c r="Y79" s="162"/>
      <c r="Z79" s="162"/>
      <c r="AA79" s="162"/>
      <c r="AB79" s="162">
        <f t="shared" si="41"/>
        <v>0</v>
      </c>
      <c r="AC79" s="162">
        <f t="shared" si="42"/>
        <v>0</v>
      </c>
      <c r="AD79" s="162">
        <f t="shared" si="43"/>
        <v>0</v>
      </c>
      <c r="AE79" s="162"/>
      <c r="AF79" s="158"/>
      <c r="AG79" s="158">
        <v>0</v>
      </c>
      <c r="AH79" s="167"/>
      <c r="AI79" s="257"/>
    </row>
    <row r="80" spans="1:35" ht="15" customHeight="1" hidden="1">
      <c r="A80" s="189"/>
      <c r="B80" s="158" t="s">
        <v>242</v>
      </c>
      <c r="C80" s="176" t="s">
        <v>249</v>
      </c>
      <c r="D80" s="162"/>
      <c r="E80" s="158"/>
      <c r="F80" s="162"/>
      <c r="G80" s="158">
        <v>6.96</v>
      </c>
      <c r="H80" s="162">
        <f t="shared" si="33"/>
        <v>6.96</v>
      </c>
      <c r="I80" s="162"/>
      <c r="J80" s="162"/>
      <c r="K80" s="162">
        <f t="shared" si="40"/>
        <v>0</v>
      </c>
      <c r="L80" s="162">
        <f t="shared" si="34"/>
        <v>0</v>
      </c>
      <c r="M80" s="162"/>
      <c r="N80" s="162">
        <f t="shared" si="36"/>
        <v>0</v>
      </c>
      <c r="O80" s="162"/>
      <c r="P80" s="162"/>
      <c r="Q80" s="162">
        <f t="shared" si="22"/>
        <v>0</v>
      </c>
      <c r="R80" s="162">
        <v>6.964</v>
      </c>
      <c r="S80" s="162">
        <f t="shared" si="37"/>
        <v>6.964</v>
      </c>
      <c r="T80" s="162"/>
      <c r="U80" s="205"/>
      <c r="V80" s="162">
        <v>6.96</v>
      </c>
      <c r="W80" s="162">
        <f t="shared" si="38"/>
        <v>6.964</v>
      </c>
      <c r="X80" s="162">
        <f t="shared" si="39"/>
        <v>0.004000000000000448</v>
      </c>
      <c r="Y80" s="162"/>
      <c r="Z80" s="162"/>
      <c r="AA80" s="162"/>
      <c r="AB80" s="162">
        <f t="shared" si="41"/>
        <v>6.96</v>
      </c>
      <c r="AC80" s="162">
        <f t="shared" si="42"/>
        <v>6.964</v>
      </c>
      <c r="AD80" s="162">
        <f t="shared" si="43"/>
        <v>0.004000000000000448</v>
      </c>
      <c r="AE80" s="162">
        <v>6.96</v>
      </c>
      <c r="AF80" s="158"/>
      <c r="AG80" s="158">
        <v>13.924</v>
      </c>
      <c r="AH80" s="167"/>
      <c r="AI80" s="257"/>
    </row>
    <row r="81" spans="1:35" ht="15" customHeight="1" hidden="1">
      <c r="A81" s="189"/>
      <c r="B81" s="158" t="s">
        <v>414</v>
      </c>
      <c r="C81" s="176" t="s">
        <v>249</v>
      </c>
      <c r="D81" s="162"/>
      <c r="E81" s="158"/>
      <c r="F81" s="162"/>
      <c r="G81" s="158"/>
      <c r="H81" s="162">
        <f t="shared" si="33"/>
        <v>0</v>
      </c>
      <c r="I81" s="162"/>
      <c r="J81" s="162"/>
      <c r="K81" s="162">
        <f t="shared" si="40"/>
        <v>0</v>
      </c>
      <c r="L81" s="162">
        <f t="shared" si="34"/>
        <v>0</v>
      </c>
      <c r="M81" s="162">
        <f t="shared" si="35"/>
        <v>0</v>
      </c>
      <c r="N81" s="162">
        <f t="shared" si="36"/>
        <v>0</v>
      </c>
      <c r="O81" s="162"/>
      <c r="P81" s="162"/>
      <c r="Q81" s="162">
        <f t="shared" si="22"/>
        <v>0</v>
      </c>
      <c r="R81" s="162">
        <f t="shared" si="23"/>
        <v>0</v>
      </c>
      <c r="S81" s="162">
        <f t="shared" si="37"/>
        <v>0</v>
      </c>
      <c r="T81" s="162"/>
      <c r="U81" s="205"/>
      <c r="V81" s="162">
        <v>150.03</v>
      </c>
      <c r="W81" s="162">
        <v>150.03</v>
      </c>
      <c r="X81" s="162">
        <f t="shared" si="39"/>
        <v>0</v>
      </c>
      <c r="Y81" s="162"/>
      <c r="Z81" s="162"/>
      <c r="AA81" s="162"/>
      <c r="AB81" s="162">
        <f t="shared" si="41"/>
        <v>150.03</v>
      </c>
      <c r="AC81" s="162">
        <f t="shared" si="42"/>
        <v>150.03</v>
      </c>
      <c r="AD81" s="162">
        <f t="shared" si="43"/>
        <v>0</v>
      </c>
      <c r="AE81" s="162"/>
      <c r="AF81" s="158"/>
      <c r="AG81" s="158">
        <v>150.03</v>
      </c>
      <c r="AH81" s="167"/>
      <c r="AI81" s="257"/>
    </row>
    <row r="82" spans="1:35" ht="15" customHeight="1" hidden="1">
      <c r="A82" s="189"/>
      <c r="B82" s="158" t="s">
        <v>141</v>
      </c>
      <c r="C82" s="176" t="s">
        <v>249</v>
      </c>
      <c r="D82" s="162"/>
      <c r="E82" s="158"/>
      <c r="F82" s="162"/>
      <c r="G82" s="158"/>
      <c r="H82" s="162">
        <f t="shared" si="33"/>
        <v>0</v>
      </c>
      <c r="I82" s="162"/>
      <c r="J82" s="162"/>
      <c r="K82" s="162">
        <f t="shared" si="40"/>
        <v>0</v>
      </c>
      <c r="L82" s="162">
        <f t="shared" si="34"/>
        <v>0</v>
      </c>
      <c r="M82" s="162">
        <f t="shared" si="35"/>
        <v>0</v>
      </c>
      <c r="N82" s="162">
        <f t="shared" si="36"/>
        <v>0</v>
      </c>
      <c r="O82" s="162"/>
      <c r="P82" s="162"/>
      <c r="Q82" s="162">
        <f t="shared" si="22"/>
        <v>0</v>
      </c>
      <c r="R82" s="162">
        <f t="shared" si="23"/>
        <v>0</v>
      </c>
      <c r="S82" s="162">
        <f t="shared" si="37"/>
        <v>0</v>
      </c>
      <c r="T82" s="162"/>
      <c r="U82" s="205"/>
      <c r="V82" s="162">
        <v>305</v>
      </c>
      <c r="W82" s="162">
        <v>305</v>
      </c>
      <c r="X82" s="162">
        <f t="shared" si="39"/>
        <v>0</v>
      </c>
      <c r="Y82" s="162"/>
      <c r="Z82" s="162"/>
      <c r="AA82" s="162"/>
      <c r="AB82" s="162">
        <f t="shared" si="41"/>
        <v>305</v>
      </c>
      <c r="AC82" s="162">
        <f t="shared" si="42"/>
        <v>305</v>
      </c>
      <c r="AD82" s="162">
        <f t="shared" si="43"/>
        <v>0</v>
      </c>
      <c r="AE82" s="162"/>
      <c r="AF82" s="158"/>
      <c r="AG82" s="158">
        <v>305</v>
      </c>
      <c r="AH82" s="167"/>
      <c r="AI82" s="257"/>
    </row>
    <row r="83" spans="1:35" ht="15" customHeight="1" hidden="1">
      <c r="A83" s="189"/>
      <c r="B83" s="158" t="s">
        <v>20</v>
      </c>
      <c r="C83" s="176" t="s">
        <v>249</v>
      </c>
      <c r="D83" s="187" t="s">
        <v>124</v>
      </c>
      <c r="E83" s="158"/>
      <c r="F83" s="187"/>
      <c r="G83" s="158">
        <v>39.2</v>
      </c>
      <c r="H83" s="162">
        <f t="shared" si="33"/>
        <v>39.2</v>
      </c>
      <c r="I83" s="187"/>
      <c r="J83" s="187"/>
      <c r="K83" s="162">
        <f t="shared" si="40"/>
        <v>0</v>
      </c>
      <c r="L83" s="162">
        <f t="shared" si="34"/>
        <v>0</v>
      </c>
      <c r="M83" s="162">
        <f t="shared" si="35"/>
        <v>39.2</v>
      </c>
      <c r="N83" s="162">
        <f t="shared" si="36"/>
        <v>39.2</v>
      </c>
      <c r="O83" s="187"/>
      <c r="P83" s="162"/>
      <c r="Q83" s="162">
        <f t="shared" si="22"/>
        <v>0</v>
      </c>
      <c r="R83" s="162">
        <f t="shared" si="23"/>
        <v>39.2</v>
      </c>
      <c r="S83" s="162">
        <f t="shared" si="37"/>
        <v>39.2</v>
      </c>
      <c r="T83" s="187"/>
      <c r="U83" s="210"/>
      <c r="V83" s="162">
        <f>Q83+T83</f>
        <v>0</v>
      </c>
      <c r="W83" s="162">
        <f t="shared" si="38"/>
        <v>39.2</v>
      </c>
      <c r="X83" s="162">
        <f t="shared" si="39"/>
        <v>39.2</v>
      </c>
      <c r="Y83" s="187"/>
      <c r="Z83" s="187"/>
      <c r="AA83" s="187"/>
      <c r="AB83" s="162">
        <f t="shared" si="41"/>
        <v>0</v>
      </c>
      <c r="AC83" s="162">
        <f t="shared" si="42"/>
        <v>39.2</v>
      </c>
      <c r="AD83" s="162">
        <f t="shared" si="43"/>
        <v>39.2</v>
      </c>
      <c r="AE83" s="187"/>
      <c r="AF83" s="158"/>
      <c r="AG83" s="158">
        <v>39.2</v>
      </c>
      <c r="AH83" s="167"/>
      <c r="AI83" s="257"/>
    </row>
    <row r="84" spans="1:35" ht="15" customHeight="1" hidden="1">
      <c r="A84" s="189"/>
      <c r="B84" s="158" t="s">
        <v>142</v>
      </c>
      <c r="C84" s="176" t="s">
        <v>249</v>
      </c>
      <c r="D84" s="162"/>
      <c r="E84" s="158"/>
      <c r="F84" s="162"/>
      <c r="G84" s="158"/>
      <c r="H84" s="162">
        <f t="shared" si="33"/>
        <v>0</v>
      </c>
      <c r="I84" s="162"/>
      <c r="J84" s="162"/>
      <c r="K84" s="162">
        <f t="shared" si="40"/>
        <v>0</v>
      </c>
      <c r="L84" s="162">
        <f t="shared" si="34"/>
        <v>0</v>
      </c>
      <c r="M84" s="162">
        <f t="shared" si="35"/>
        <v>0</v>
      </c>
      <c r="N84" s="162">
        <f t="shared" si="36"/>
        <v>0</v>
      </c>
      <c r="O84" s="162"/>
      <c r="P84" s="162"/>
      <c r="Q84" s="162">
        <f t="shared" si="22"/>
        <v>0</v>
      </c>
      <c r="R84" s="162">
        <f t="shared" si="23"/>
        <v>0</v>
      </c>
      <c r="S84" s="162">
        <f t="shared" si="37"/>
        <v>0</v>
      </c>
      <c r="T84" s="162"/>
      <c r="U84" s="205"/>
      <c r="V84" s="162">
        <f>Q84+T84</f>
        <v>0</v>
      </c>
      <c r="W84" s="162">
        <f t="shared" si="38"/>
        <v>0</v>
      </c>
      <c r="X84" s="162">
        <f t="shared" si="39"/>
        <v>0</v>
      </c>
      <c r="Y84" s="162"/>
      <c r="Z84" s="162"/>
      <c r="AA84" s="162"/>
      <c r="AB84" s="162">
        <f t="shared" si="41"/>
        <v>0</v>
      </c>
      <c r="AC84" s="162">
        <f t="shared" si="42"/>
        <v>0</v>
      </c>
      <c r="AD84" s="162">
        <f t="shared" si="43"/>
        <v>0</v>
      </c>
      <c r="AE84" s="162"/>
      <c r="AF84" s="158"/>
      <c r="AG84" s="158">
        <v>0</v>
      </c>
      <c r="AH84" s="167"/>
      <c r="AI84" s="257"/>
    </row>
    <row r="85" spans="1:35" ht="15" customHeight="1" hidden="1">
      <c r="A85" s="189"/>
      <c r="B85" s="158" t="s">
        <v>143</v>
      </c>
      <c r="C85" s="176" t="s">
        <v>249</v>
      </c>
      <c r="D85" s="162">
        <v>82.52679</v>
      </c>
      <c r="E85" s="158">
        <v>87.4783974</v>
      </c>
      <c r="F85" s="162">
        <v>14.58</v>
      </c>
      <c r="G85" s="158"/>
      <c r="H85" s="162">
        <f t="shared" si="33"/>
        <v>-14.58</v>
      </c>
      <c r="I85" s="162">
        <v>14.58</v>
      </c>
      <c r="J85" s="162"/>
      <c r="K85" s="162">
        <f t="shared" si="40"/>
        <v>-14.58</v>
      </c>
      <c r="L85" s="162">
        <f t="shared" si="34"/>
        <v>29.16</v>
      </c>
      <c r="M85" s="162">
        <f t="shared" si="35"/>
        <v>0</v>
      </c>
      <c r="N85" s="162">
        <f t="shared" si="36"/>
        <v>-29.16</v>
      </c>
      <c r="O85" s="162">
        <v>14.58</v>
      </c>
      <c r="P85" s="162"/>
      <c r="Q85" s="162">
        <f t="shared" si="22"/>
        <v>43.74</v>
      </c>
      <c r="R85" s="162">
        <f t="shared" si="23"/>
        <v>0</v>
      </c>
      <c r="S85" s="162">
        <f t="shared" si="37"/>
        <v>-43.74</v>
      </c>
      <c r="T85" s="162">
        <v>14.58</v>
      </c>
      <c r="U85" s="205"/>
      <c r="V85" s="162">
        <v>14.58</v>
      </c>
      <c r="W85" s="162">
        <f t="shared" si="38"/>
        <v>0</v>
      </c>
      <c r="X85" s="162">
        <f t="shared" si="39"/>
        <v>-14.58</v>
      </c>
      <c r="Y85" s="162">
        <v>14.58</v>
      </c>
      <c r="Z85" s="162"/>
      <c r="AA85" s="162"/>
      <c r="AB85" s="162">
        <f t="shared" si="41"/>
        <v>29.16</v>
      </c>
      <c r="AC85" s="162">
        <f t="shared" si="42"/>
        <v>0</v>
      </c>
      <c r="AD85" s="162">
        <f t="shared" si="43"/>
        <v>-29.16</v>
      </c>
      <c r="AE85" s="162"/>
      <c r="AF85" s="158">
        <v>87.4783974</v>
      </c>
      <c r="AG85" s="158">
        <v>0</v>
      </c>
      <c r="AH85" s="167"/>
      <c r="AI85" s="257"/>
    </row>
    <row r="86" spans="1:35" ht="15" customHeight="1" hidden="1">
      <c r="A86" s="189"/>
      <c r="B86" s="158" t="s">
        <v>408</v>
      </c>
      <c r="C86" s="176" t="s">
        <v>249</v>
      </c>
      <c r="D86" s="162"/>
      <c r="E86" s="158"/>
      <c r="F86" s="162">
        <v>120.13</v>
      </c>
      <c r="G86" s="158"/>
      <c r="H86" s="162">
        <f t="shared" si="33"/>
        <v>-120.13</v>
      </c>
      <c r="I86" s="162">
        <v>120.13</v>
      </c>
      <c r="J86" s="162">
        <v>305</v>
      </c>
      <c r="K86" s="162">
        <f t="shared" si="40"/>
        <v>184.87</v>
      </c>
      <c r="L86" s="162">
        <f t="shared" si="34"/>
        <v>240.26</v>
      </c>
      <c r="M86" s="162">
        <f t="shared" si="35"/>
        <v>305</v>
      </c>
      <c r="N86" s="162">
        <f t="shared" si="36"/>
        <v>64.74000000000001</v>
      </c>
      <c r="O86" s="162">
        <v>120.13</v>
      </c>
      <c r="P86" s="162">
        <v>150.03</v>
      </c>
      <c r="Q86" s="162">
        <f t="shared" si="22"/>
        <v>360.39</v>
      </c>
      <c r="R86" s="162">
        <f t="shared" si="23"/>
        <v>455.03</v>
      </c>
      <c r="S86" s="162">
        <f t="shared" si="37"/>
        <v>94.63999999999999</v>
      </c>
      <c r="T86" s="162">
        <v>120.13</v>
      </c>
      <c r="U86" s="205"/>
      <c r="V86" s="162"/>
      <c r="W86" s="162">
        <v>8.51</v>
      </c>
      <c r="X86" s="162">
        <f t="shared" si="39"/>
        <v>8.51</v>
      </c>
      <c r="Y86" s="162"/>
      <c r="Z86" s="162"/>
      <c r="AA86" s="162"/>
      <c r="AB86" s="162">
        <f t="shared" si="41"/>
        <v>0</v>
      </c>
      <c r="AC86" s="162">
        <f t="shared" si="42"/>
        <v>8.51</v>
      </c>
      <c r="AD86" s="162">
        <f t="shared" si="43"/>
        <v>8.51</v>
      </c>
      <c r="AE86" s="162"/>
      <c r="AF86" s="158"/>
      <c r="AG86" s="158">
        <v>8.51</v>
      </c>
      <c r="AH86" s="167"/>
      <c r="AI86" s="257"/>
    </row>
    <row r="87" spans="1:35" s="154" customFormat="1" ht="15.75">
      <c r="A87" s="171" t="s">
        <v>398</v>
      </c>
      <c r="B87" s="185" t="s">
        <v>144</v>
      </c>
      <c r="C87" s="176" t="s">
        <v>249</v>
      </c>
      <c r="D87" s="161" t="e">
        <f aca="true" t="shared" si="45" ref="D87:AF87">D88+D105+D116</f>
        <v>#REF!</v>
      </c>
      <c r="E87" s="169" t="e">
        <f t="shared" si="45"/>
        <v>#REF!</v>
      </c>
      <c r="F87" s="169" t="e">
        <f t="shared" si="45"/>
        <v>#REF!</v>
      </c>
      <c r="G87" s="169" t="e">
        <f t="shared" si="45"/>
        <v>#REF!</v>
      </c>
      <c r="H87" s="169" t="e">
        <f t="shared" si="45"/>
        <v>#REF!</v>
      </c>
      <c r="I87" s="169" t="e">
        <f t="shared" si="45"/>
        <v>#REF!</v>
      </c>
      <c r="J87" s="169" t="e">
        <f t="shared" si="45"/>
        <v>#REF!</v>
      </c>
      <c r="K87" s="169" t="e">
        <f t="shared" si="45"/>
        <v>#REF!</v>
      </c>
      <c r="L87" s="169" t="e">
        <f t="shared" si="45"/>
        <v>#REF!</v>
      </c>
      <c r="M87" s="169" t="e">
        <f t="shared" si="45"/>
        <v>#REF!</v>
      </c>
      <c r="N87" s="169" t="e">
        <f t="shared" si="45"/>
        <v>#REF!</v>
      </c>
      <c r="O87" s="169" t="e">
        <f t="shared" si="45"/>
        <v>#REF!</v>
      </c>
      <c r="P87" s="169" t="e">
        <f t="shared" si="45"/>
        <v>#REF!</v>
      </c>
      <c r="Q87" s="169" t="e">
        <f t="shared" si="45"/>
        <v>#REF!</v>
      </c>
      <c r="R87" s="169" t="e">
        <f t="shared" si="45"/>
        <v>#REF!</v>
      </c>
      <c r="S87" s="169" t="e">
        <f t="shared" si="45"/>
        <v>#REF!</v>
      </c>
      <c r="T87" s="169" t="e">
        <f t="shared" si="45"/>
        <v>#REF!</v>
      </c>
      <c r="U87" s="202" t="e">
        <f t="shared" si="45"/>
        <v>#REF!</v>
      </c>
      <c r="V87" s="169" t="e">
        <f t="shared" si="45"/>
        <v>#REF!</v>
      </c>
      <c r="W87" s="169" t="e">
        <f t="shared" si="45"/>
        <v>#REF!</v>
      </c>
      <c r="X87" s="169" t="e">
        <f t="shared" si="45"/>
        <v>#REF!</v>
      </c>
      <c r="Y87" s="169" t="e">
        <f t="shared" si="45"/>
        <v>#REF!</v>
      </c>
      <c r="Z87" s="169" t="e">
        <f t="shared" si="45"/>
        <v>#REF!</v>
      </c>
      <c r="AA87" s="169" t="e">
        <f t="shared" si="45"/>
        <v>#REF!</v>
      </c>
      <c r="AB87" s="169" t="e">
        <f t="shared" si="45"/>
        <v>#REF!</v>
      </c>
      <c r="AC87" s="169" t="e">
        <f t="shared" si="45"/>
        <v>#REF!</v>
      </c>
      <c r="AD87" s="169" t="e">
        <f t="shared" si="45"/>
        <v>#REF!</v>
      </c>
      <c r="AE87" s="169" t="e">
        <f t="shared" si="45"/>
        <v>#REF!</v>
      </c>
      <c r="AF87" s="169">
        <f t="shared" si="45"/>
        <v>237469.90627183998</v>
      </c>
      <c r="AG87" s="169">
        <v>139384.6042</v>
      </c>
      <c r="AH87" s="164">
        <f t="shared" si="44"/>
        <v>58.69569175659743</v>
      </c>
      <c r="AI87" s="257"/>
    </row>
    <row r="88" spans="1:35" s="154" customFormat="1" ht="15.75">
      <c r="A88" s="171" t="s">
        <v>346</v>
      </c>
      <c r="B88" s="185" t="s">
        <v>145</v>
      </c>
      <c r="C88" s="176" t="s">
        <v>249</v>
      </c>
      <c r="D88" s="161" t="e">
        <f>D89+D90+D92+D93</f>
        <v>#REF!</v>
      </c>
      <c r="E88" s="169" t="e">
        <f>E89+E90+E92+E93</f>
        <v>#REF!</v>
      </c>
      <c r="F88" s="169" t="e">
        <f aca="true" t="shared" si="46" ref="F88:P88">F89+F90+F92+F93+F91</f>
        <v>#REF!</v>
      </c>
      <c r="G88" s="169" t="e">
        <f t="shared" si="46"/>
        <v>#REF!</v>
      </c>
      <c r="H88" s="169" t="e">
        <f t="shared" si="46"/>
        <v>#REF!</v>
      </c>
      <c r="I88" s="169" t="e">
        <f t="shared" si="46"/>
        <v>#REF!</v>
      </c>
      <c r="J88" s="169" t="e">
        <f t="shared" si="46"/>
        <v>#REF!</v>
      </c>
      <c r="K88" s="169" t="e">
        <f t="shared" si="46"/>
        <v>#REF!</v>
      </c>
      <c r="L88" s="169" t="e">
        <f t="shared" si="46"/>
        <v>#REF!</v>
      </c>
      <c r="M88" s="169" t="e">
        <f t="shared" si="46"/>
        <v>#REF!</v>
      </c>
      <c r="N88" s="169" t="e">
        <f t="shared" si="46"/>
        <v>#REF!</v>
      </c>
      <c r="O88" s="169" t="e">
        <f t="shared" si="46"/>
        <v>#REF!</v>
      </c>
      <c r="P88" s="169" t="e">
        <f t="shared" si="46"/>
        <v>#REF!</v>
      </c>
      <c r="Q88" s="162" t="e">
        <f t="shared" si="22"/>
        <v>#REF!</v>
      </c>
      <c r="R88" s="162" t="e">
        <f t="shared" si="23"/>
        <v>#REF!</v>
      </c>
      <c r="S88" s="169" t="e">
        <f>S89+S90+S92+S93+S91</f>
        <v>#REF!</v>
      </c>
      <c r="T88" s="169" t="e">
        <f>T89+T90+T92+T93+T91</f>
        <v>#REF!</v>
      </c>
      <c r="U88" s="202" t="e">
        <f>U89+U90+U92+U93+U91</f>
        <v>#REF!</v>
      </c>
      <c r="V88" s="169" t="e">
        <f>V89+V90+V92+V93+V91</f>
        <v>#REF!</v>
      </c>
      <c r="W88" s="169" t="e">
        <f>W89+W90+W92+W93+W91</f>
        <v>#REF!</v>
      </c>
      <c r="X88" s="169" t="e">
        <f aca="true" t="shared" si="47" ref="X88:AD88">X89+X90+X92+X93+X91</f>
        <v>#REF!</v>
      </c>
      <c r="Y88" s="169" t="e">
        <f t="shared" si="47"/>
        <v>#REF!</v>
      </c>
      <c r="Z88" s="169" t="e">
        <f t="shared" si="47"/>
        <v>#REF!</v>
      </c>
      <c r="AA88" s="169" t="e">
        <f t="shared" si="47"/>
        <v>#REF!</v>
      </c>
      <c r="AB88" s="169" t="e">
        <f t="shared" si="47"/>
        <v>#REF!</v>
      </c>
      <c r="AC88" s="169" t="e">
        <f t="shared" si="47"/>
        <v>#REF!</v>
      </c>
      <c r="AD88" s="169" t="e">
        <f t="shared" si="47"/>
        <v>#REF!</v>
      </c>
      <c r="AE88" s="169" t="e">
        <f>AE89+AE90+AE92+AE93+AE91</f>
        <v>#REF!</v>
      </c>
      <c r="AF88" s="169">
        <f>AF89+AF90+AF92+AF93+AF91</f>
        <v>206273.15325016</v>
      </c>
      <c r="AG88" s="169">
        <v>121166.1415</v>
      </c>
      <c r="AH88" s="164">
        <f t="shared" si="44"/>
        <v>58.74062600529234</v>
      </c>
      <c r="AI88" s="257"/>
    </row>
    <row r="89" spans="1:35" s="178" customFormat="1" ht="15.75">
      <c r="A89" s="213" t="s">
        <v>428</v>
      </c>
      <c r="B89" s="175" t="s">
        <v>146</v>
      </c>
      <c r="C89" s="176" t="s">
        <v>249</v>
      </c>
      <c r="D89" s="162">
        <v>91111.91</v>
      </c>
      <c r="E89" s="158">
        <v>96578.62</v>
      </c>
      <c r="F89" s="162">
        <f>'[2]ФОТ'!F22</f>
        <v>10140.249999999998</v>
      </c>
      <c r="G89" s="162">
        <v>10325.43</v>
      </c>
      <c r="H89" s="162">
        <f t="shared" si="33"/>
        <v>185.1800000000021</v>
      </c>
      <c r="I89" s="162">
        <f>'[2]ФОТ'!G22</f>
        <v>10140.249999999998</v>
      </c>
      <c r="J89" s="162">
        <v>10206.286</v>
      </c>
      <c r="K89" s="162">
        <f t="shared" si="40"/>
        <v>66.03600000000188</v>
      </c>
      <c r="L89" s="162">
        <f t="shared" si="34"/>
        <v>20280.499999999996</v>
      </c>
      <c r="M89" s="162">
        <f t="shared" si="35"/>
        <v>20531.716</v>
      </c>
      <c r="N89" s="162">
        <f t="shared" si="36"/>
        <v>251.216000000004</v>
      </c>
      <c r="O89" s="162">
        <f>'[2]ФОТ'!H22</f>
        <v>10140.249999999998</v>
      </c>
      <c r="P89" s="162">
        <v>10378.52</v>
      </c>
      <c r="Q89" s="162">
        <f aca="true" t="shared" si="48" ref="Q89:Q116">L89+O89</f>
        <v>30420.749999999993</v>
      </c>
      <c r="R89" s="162">
        <f aca="true" t="shared" si="49" ref="R89:R116">M89+P89</f>
        <v>30910.236</v>
      </c>
      <c r="S89" s="162">
        <f>R89-Q89</f>
        <v>489.48600000000806</v>
      </c>
      <c r="T89" s="162">
        <f>'[2]ФОТ'!I22</f>
        <v>10599.7555</v>
      </c>
      <c r="U89" s="205">
        <v>10031.633</v>
      </c>
      <c r="V89" s="162">
        <v>40941.88</v>
      </c>
      <c r="W89" s="162">
        <f t="shared" si="38"/>
        <v>40941.869</v>
      </c>
      <c r="X89" s="162">
        <f t="shared" si="39"/>
        <v>-0.010999999998603016</v>
      </c>
      <c r="Y89" s="162">
        <v>10721.5</v>
      </c>
      <c r="Z89" s="162">
        <v>10120.004</v>
      </c>
      <c r="AA89" s="162"/>
      <c r="AB89" s="162">
        <f t="shared" si="41"/>
        <v>51663.38</v>
      </c>
      <c r="AC89" s="162">
        <f t="shared" si="42"/>
        <v>51061.873</v>
      </c>
      <c r="AD89" s="162">
        <f t="shared" si="43"/>
        <v>-601.5069999999978</v>
      </c>
      <c r="AE89" s="162">
        <v>10721.5</v>
      </c>
      <c r="AF89" s="158">
        <v>96578.62</v>
      </c>
      <c r="AG89" s="158">
        <v>61783.373</v>
      </c>
      <c r="AH89" s="167">
        <f t="shared" si="44"/>
        <v>63.972101692900566</v>
      </c>
      <c r="AI89" s="257"/>
    </row>
    <row r="90" spans="1:35" s="178" customFormat="1" ht="15.75">
      <c r="A90" s="213" t="s">
        <v>429</v>
      </c>
      <c r="B90" s="175" t="s">
        <v>356</v>
      </c>
      <c r="C90" s="176" t="s">
        <v>249</v>
      </c>
      <c r="D90" s="162">
        <f>D89*0.099</f>
        <v>9020.079090000001</v>
      </c>
      <c r="E90" s="158">
        <v>9561.28338</v>
      </c>
      <c r="F90" s="162">
        <f>'[2]ФОТ'!F26</f>
        <v>1003.8847499999998</v>
      </c>
      <c r="G90" s="162">
        <v>1031.766</v>
      </c>
      <c r="H90" s="162">
        <f t="shared" si="33"/>
        <v>27.88125000000025</v>
      </c>
      <c r="I90" s="162">
        <f>'[2]ФОТ'!G26</f>
        <v>1003.8847499999998</v>
      </c>
      <c r="J90" s="162">
        <v>1019.289</v>
      </c>
      <c r="K90" s="162">
        <f t="shared" si="40"/>
        <v>15.404250000000161</v>
      </c>
      <c r="L90" s="162">
        <f t="shared" si="34"/>
        <v>2007.7694999999997</v>
      </c>
      <c r="M90" s="162">
        <f t="shared" si="35"/>
        <v>2051.0550000000003</v>
      </c>
      <c r="N90" s="162">
        <f t="shared" si="36"/>
        <v>43.28550000000064</v>
      </c>
      <c r="O90" s="162">
        <f>'[2]ФОТ'!H26</f>
        <v>1003.8847499999998</v>
      </c>
      <c r="P90" s="162">
        <v>1042.594</v>
      </c>
      <c r="Q90" s="162">
        <f t="shared" si="48"/>
        <v>3011.6542499999996</v>
      </c>
      <c r="R90" s="162">
        <f t="shared" si="49"/>
        <v>3093.6490000000003</v>
      </c>
      <c r="S90" s="162">
        <f>R90-Q90</f>
        <v>81.99475000000075</v>
      </c>
      <c r="T90" s="162">
        <f>'[2]ФОТ'!I26</f>
        <v>1049.3757945</v>
      </c>
      <c r="U90" s="205">
        <v>1003.699</v>
      </c>
      <c r="V90" s="162">
        <v>4097.35</v>
      </c>
      <c r="W90" s="162">
        <f t="shared" si="38"/>
        <v>4097.348</v>
      </c>
      <c r="X90" s="162">
        <f t="shared" si="39"/>
        <v>-0.0020000000004074536</v>
      </c>
      <c r="Y90" s="162">
        <f>Y89*0.9*0.11</f>
        <v>1061.4285</v>
      </c>
      <c r="Z90" s="162">
        <v>1017.248</v>
      </c>
      <c r="AA90" s="162"/>
      <c r="AB90" s="162">
        <f t="shared" si="41"/>
        <v>5158.7785</v>
      </c>
      <c r="AC90" s="162">
        <f t="shared" si="42"/>
        <v>5114.596</v>
      </c>
      <c r="AD90" s="162">
        <f t="shared" si="43"/>
        <v>-44.1825000000008</v>
      </c>
      <c r="AE90" s="162">
        <f>AE89*0.9*0.11</f>
        <v>1061.4285</v>
      </c>
      <c r="AF90" s="158">
        <v>9561.28338</v>
      </c>
      <c r="AG90" s="158">
        <v>6176.0244999999995</v>
      </c>
      <c r="AH90" s="167">
        <f t="shared" si="44"/>
        <v>64.5940953169406</v>
      </c>
      <c r="AI90" s="257"/>
    </row>
    <row r="91" spans="1:35" s="178" customFormat="1" ht="15.75" hidden="1">
      <c r="A91" s="213" t="s">
        <v>430</v>
      </c>
      <c r="B91" s="175" t="s">
        <v>147</v>
      </c>
      <c r="C91" s="176" t="s">
        <v>249</v>
      </c>
      <c r="D91" s="162"/>
      <c r="E91" s="158"/>
      <c r="F91" s="162"/>
      <c r="G91" s="162"/>
      <c r="H91" s="162">
        <f t="shared" si="33"/>
        <v>0</v>
      </c>
      <c r="I91" s="162"/>
      <c r="J91" s="162"/>
      <c r="K91" s="162">
        <f t="shared" si="40"/>
        <v>0</v>
      </c>
      <c r="L91" s="162">
        <f t="shared" si="34"/>
        <v>0</v>
      </c>
      <c r="M91" s="162">
        <f t="shared" si="35"/>
        <v>0</v>
      </c>
      <c r="N91" s="162">
        <f t="shared" si="36"/>
        <v>0</v>
      </c>
      <c r="O91" s="162"/>
      <c r="P91" s="162"/>
      <c r="Q91" s="162">
        <f t="shared" si="48"/>
        <v>0</v>
      </c>
      <c r="R91" s="162">
        <f t="shared" si="49"/>
        <v>0</v>
      </c>
      <c r="S91" s="162">
        <f>R91-Q91</f>
        <v>0</v>
      </c>
      <c r="T91" s="162"/>
      <c r="U91" s="205"/>
      <c r="V91" s="162">
        <f>Q91+T91</f>
        <v>0</v>
      </c>
      <c r="W91" s="162">
        <f t="shared" si="38"/>
        <v>0</v>
      </c>
      <c r="X91" s="162">
        <f t="shared" si="39"/>
        <v>0</v>
      </c>
      <c r="Y91" s="162"/>
      <c r="Z91" s="162"/>
      <c r="AA91" s="162"/>
      <c r="AB91" s="162">
        <f t="shared" si="41"/>
        <v>0</v>
      </c>
      <c r="AC91" s="162">
        <f t="shared" si="42"/>
        <v>0</v>
      </c>
      <c r="AD91" s="162">
        <f t="shared" si="43"/>
        <v>0</v>
      </c>
      <c r="AE91" s="162"/>
      <c r="AF91" s="158"/>
      <c r="AG91" s="158">
        <v>0</v>
      </c>
      <c r="AH91" s="167"/>
      <c r="AI91" s="257"/>
    </row>
    <row r="92" spans="1:35" ht="15.75">
      <c r="A92" s="213" t="s">
        <v>430</v>
      </c>
      <c r="B92" s="158" t="s">
        <v>57</v>
      </c>
      <c r="C92" s="176" t="s">
        <v>249</v>
      </c>
      <c r="D92" s="190">
        <v>13071.55</v>
      </c>
      <c r="E92" s="190">
        <v>79985.68</v>
      </c>
      <c r="F92" s="190">
        <f>'[2]Налоги'!E6</f>
        <v>0</v>
      </c>
      <c r="G92" s="190"/>
      <c r="H92" s="162">
        <f t="shared" si="33"/>
        <v>0</v>
      </c>
      <c r="I92" s="190">
        <f>'[2]Налоги'!F6</f>
        <v>17822</v>
      </c>
      <c r="J92" s="190">
        <v>17807.87</v>
      </c>
      <c r="K92" s="162">
        <f t="shared" si="40"/>
        <v>-14.130000000001019</v>
      </c>
      <c r="L92" s="162">
        <f t="shared" si="34"/>
        <v>17822</v>
      </c>
      <c r="M92" s="162">
        <f t="shared" si="35"/>
        <v>17807.87</v>
      </c>
      <c r="N92" s="162">
        <f t="shared" si="36"/>
        <v>-14.130000000001019</v>
      </c>
      <c r="O92" s="190">
        <f>'[2]Налоги'!G6</f>
        <v>1193</v>
      </c>
      <c r="P92" s="190">
        <v>1434.363</v>
      </c>
      <c r="Q92" s="162">
        <f t="shared" si="48"/>
        <v>19015</v>
      </c>
      <c r="R92" s="162">
        <f t="shared" si="49"/>
        <v>19242.233</v>
      </c>
      <c r="S92" s="162">
        <f>R92-Q92</f>
        <v>227.23300000000017</v>
      </c>
      <c r="T92" s="190">
        <f>'[2]Налоги'!H6</f>
        <v>0</v>
      </c>
      <c r="U92" s="211">
        <v>9.069</v>
      </c>
      <c r="V92" s="162">
        <v>19251.2</v>
      </c>
      <c r="W92" s="162">
        <f t="shared" si="38"/>
        <v>19251.302</v>
      </c>
      <c r="X92" s="162">
        <f t="shared" si="39"/>
        <v>0.10199999999895226</v>
      </c>
      <c r="Y92" s="190">
        <v>17970.84</v>
      </c>
      <c r="Z92" s="190">
        <v>17970.79</v>
      </c>
      <c r="AA92" s="190"/>
      <c r="AB92" s="162">
        <f t="shared" si="41"/>
        <v>37222.04</v>
      </c>
      <c r="AC92" s="162">
        <f t="shared" si="42"/>
        <v>37222.092000000004</v>
      </c>
      <c r="AD92" s="162">
        <f t="shared" si="43"/>
        <v>0.05200000000331784</v>
      </c>
      <c r="AE92" s="190">
        <v>3081.28</v>
      </c>
      <c r="AF92" s="190">
        <v>79985.68</v>
      </c>
      <c r="AG92" s="190">
        <v>40303.372</v>
      </c>
      <c r="AH92" s="167">
        <f t="shared" si="44"/>
        <v>50.38823449397442</v>
      </c>
      <c r="AI92" s="257"/>
    </row>
    <row r="93" spans="1:35" ht="15.75">
      <c r="A93" s="171" t="s">
        <v>431</v>
      </c>
      <c r="B93" s="169" t="s">
        <v>58</v>
      </c>
      <c r="C93" s="160" t="s">
        <v>341</v>
      </c>
      <c r="D93" s="161" t="e">
        <f>D94+D97+D98+D99+D101+#REF!+D102+D103+D104</f>
        <v>#REF!</v>
      </c>
      <c r="E93" s="161" t="e">
        <f>E94+E97+E98+E99+E101+#REF!+E102+E103+E104</f>
        <v>#REF!</v>
      </c>
      <c r="F93" s="161" t="e">
        <f>F94+F97+F98+F99+F101+#REF!+F102+F103+F104+#REF!</f>
        <v>#REF!</v>
      </c>
      <c r="G93" s="161" t="e">
        <f>G94+G97+G98+G99+G101+#REF!+G102+G103+G104+#REF!</f>
        <v>#REF!</v>
      </c>
      <c r="H93" s="161" t="e">
        <f>H94+H97+H98+H99+H101+#REF!+H102+H103+H104+#REF!</f>
        <v>#REF!</v>
      </c>
      <c r="I93" s="161" t="e">
        <f>I94+I97+I98+I99+I101+#REF!+I102+I103+I104+#REF!</f>
        <v>#REF!</v>
      </c>
      <c r="J93" s="161" t="e">
        <f>J94+J97+J98+J99+J101+#REF!+J102+J103+J104+#REF!</f>
        <v>#REF!</v>
      </c>
      <c r="K93" s="161" t="e">
        <f>K94+K97+K98+K99+K101+#REF!+K102+K103+K104+#REF!</f>
        <v>#REF!</v>
      </c>
      <c r="L93" s="161" t="e">
        <f>L94+L97+L98+L99+L101+#REF!+L102+L103+L104+#REF!</f>
        <v>#REF!</v>
      </c>
      <c r="M93" s="161" t="e">
        <f>M94+M97+M98+M99+M101+#REF!+M102+M103+M104+#REF!</f>
        <v>#REF!</v>
      </c>
      <c r="N93" s="161" t="e">
        <f>N94+N97+N98+N99+N101+#REF!+N102+N103+N104+#REF!</f>
        <v>#REF!</v>
      </c>
      <c r="O93" s="161" t="e">
        <f>O94+O97+O98+O99+O101+#REF!+O102+O103+O104</f>
        <v>#REF!</v>
      </c>
      <c r="P93" s="161" t="e">
        <f>P94+P97+P98+P99+P101+#REF!+P102+P103+P104+#REF!</f>
        <v>#REF!</v>
      </c>
      <c r="Q93" s="161" t="e">
        <f>Q94+Q97+Q98+Q99+Q101+#REF!+Q102+Q103+Q104+#REF!</f>
        <v>#REF!</v>
      </c>
      <c r="R93" s="161" t="e">
        <f>R94+R97+R98+R99+R101+#REF!+R102+R103+R104+#REF!</f>
        <v>#REF!</v>
      </c>
      <c r="S93" s="161" t="e">
        <f>S94+S97+S98+S99+S101+#REF!+S102+S103+S104+#REF!</f>
        <v>#REF!</v>
      </c>
      <c r="T93" s="161" t="e">
        <f>T94+T97+T98+T99+T101+#REF!+T102+T103+T104</f>
        <v>#REF!</v>
      </c>
      <c r="U93" s="204" t="e">
        <f>U94+U97+U98+U99+U101+#REF!+U102+U103+U104+#REF!+#REF!</f>
        <v>#REF!</v>
      </c>
      <c r="V93" s="161" t="e">
        <f>V94+V97+V98+V99+V101+#REF!+V102+V103+V104+#REF!+#REF!</f>
        <v>#REF!</v>
      </c>
      <c r="W93" s="161" t="e">
        <f>W94+W97+W98+W99+W101+#REF!+W102+W103+W104+#REF!+#REF!</f>
        <v>#REF!</v>
      </c>
      <c r="X93" s="161" t="e">
        <f>X94+X97+X98+X99+X101+#REF!+X102+X103+X104+#REF!+#REF!</f>
        <v>#REF!</v>
      </c>
      <c r="Y93" s="161" t="e">
        <f>Y94+Y97+Y98+Y99+Y101+#REF!+Y102+Y103+Y104+#REF!+#REF!</f>
        <v>#REF!</v>
      </c>
      <c r="Z93" s="161" t="e">
        <f>Z94+Z97+Z98+Z99+Z101+#REF!+Z102+Z103+Z104+#REF!+#REF!</f>
        <v>#REF!</v>
      </c>
      <c r="AA93" s="161" t="e">
        <f>AA94+AA97+AA98+AA99+AA101+#REF!+AA102+AA103+AA104+#REF!+#REF!</f>
        <v>#REF!</v>
      </c>
      <c r="AB93" s="161" t="e">
        <f>AB94+AB97+AB98+AB99+AB101+#REF!+AB102+AB103+AB104+#REF!+#REF!</f>
        <v>#REF!</v>
      </c>
      <c r="AC93" s="161" t="e">
        <f>AC94+AC97+AC98+AC99+AC101+#REF!+AC102+AC103+AC104+#REF!+#REF!</f>
        <v>#REF!</v>
      </c>
      <c r="AD93" s="161" t="e">
        <f>AD94+AD97+AD98+AD99+AD101+#REF!+AD102+AD103+AD104+#REF!+#REF!</f>
        <v>#REF!</v>
      </c>
      <c r="AE93" s="161" t="e">
        <f>AE94+AE97+AE98+AE99+AE101+#REF!+AE102+AE103+AE104</f>
        <v>#REF!</v>
      </c>
      <c r="AF93" s="161">
        <f>AF94+AF97+AF98+AF99+AF101+AF102+AF103+AF104</f>
        <v>20147.569870159994</v>
      </c>
      <c r="AG93" s="161">
        <f>AG94+AG97+AG98+AG99+AG101+AG102+AG103+AG104</f>
        <v>12631.407</v>
      </c>
      <c r="AH93" s="164">
        <f t="shared" si="44"/>
        <v>62.694444448648</v>
      </c>
      <c r="AI93" s="257"/>
    </row>
    <row r="94" spans="1:35" ht="15.75">
      <c r="A94" s="213" t="s">
        <v>432</v>
      </c>
      <c r="B94" s="158" t="s">
        <v>148</v>
      </c>
      <c r="C94" s="176" t="s">
        <v>249</v>
      </c>
      <c r="D94" s="158">
        <v>10683.089739999998</v>
      </c>
      <c r="E94" s="158">
        <v>10355.713619999995</v>
      </c>
      <c r="F94" s="158">
        <v>1391.1</v>
      </c>
      <c r="G94" s="158">
        <v>1437.33</v>
      </c>
      <c r="H94" s="162">
        <f t="shared" si="33"/>
        <v>46.23000000000002</v>
      </c>
      <c r="I94" s="158">
        <v>1391.1</v>
      </c>
      <c r="J94" s="158">
        <v>1351.09</v>
      </c>
      <c r="K94" s="162">
        <f t="shared" si="40"/>
        <v>-40.00999999999999</v>
      </c>
      <c r="L94" s="162">
        <f t="shared" si="34"/>
        <v>2782.2</v>
      </c>
      <c r="M94" s="162">
        <f t="shared" si="35"/>
        <v>2788.42</v>
      </c>
      <c r="N94" s="162">
        <f t="shared" si="36"/>
        <v>6.220000000000255</v>
      </c>
      <c r="O94" s="158">
        <v>1391.1</v>
      </c>
      <c r="P94" s="158">
        <v>1355.44</v>
      </c>
      <c r="Q94" s="162">
        <f t="shared" si="48"/>
        <v>4173.299999999999</v>
      </c>
      <c r="R94" s="162">
        <f t="shared" si="49"/>
        <v>4143.860000000001</v>
      </c>
      <c r="S94" s="162">
        <f aca="true" t="shared" si="50" ref="S94:S104">R94-Q94</f>
        <v>-29.43999999999869</v>
      </c>
      <c r="T94" s="158">
        <v>1391.1</v>
      </c>
      <c r="U94" s="201">
        <v>1354.138</v>
      </c>
      <c r="V94" s="162">
        <v>5534.96</v>
      </c>
      <c r="W94" s="162">
        <f t="shared" si="38"/>
        <v>5497.9980000000005</v>
      </c>
      <c r="X94" s="162">
        <f t="shared" si="39"/>
        <v>-36.961999999999534</v>
      </c>
      <c r="Y94" s="158">
        <v>1391.1</v>
      </c>
      <c r="Z94" s="158">
        <f>U94</f>
        <v>1354.138</v>
      </c>
      <c r="AA94" s="158"/>
      <c r="AB94" s="162">
        <f t="shared" si="41"/>
        <v>6926.0599999999995</v>
      </c>
      <c r="AC94" s="162">
        <f t="shared" si="42"/>
        <v>6852.136</v>
      </c>
      <c r="AD94" s="162">
        <f t="shared" si="43"/>
        <v>-73.92399999999907</v>
      </c>
      <c r="AE94" s="158">
        <v>1391.1</v>
      </c>
      <c r="AF94" s="158">
        <v>10355.713619999995</v>
      </c>
      <c r="AG94" s="158">
        <v>8243.236</v>
      </c>
      <c r="AH94" s="167">
        <f t="shared" si="44"/>
        <v>79.60084937149898</v>
      </c>
      <c r="AI94" s="257"/>
    </row>
    <row r="95" spans="1:35" ht="15" customHeight="1" hidden="1">
      <c r="A95" s="198"/>
      <c r="B95" s="158" t="s">
        <v>149</v>
      </c>
      <c r="C95" s="176" t="s">
        <v>249</v>
      </c>
      <c r="D95" s="162"/>
      <c r="E95" s="158"/>
      <c r="F95" s="162"/>
      <c r="G95" s="162"/>
      <c r="H95" s="162">
        <f t="shared" si="33"/>
        <v>0</v>
      </c>
      <c r="I95" s="162"/>
      <c r="J95" s="162"/>
      <c r="K95" s="162">
        <f t="shared" si="40"/>
        <v>0</v>
      </c>
      <c r="L95" s="162">
        <f t="shared" si="34"/>
        <v>0</v>
      </c>
      <c r="M95" s="162">
        <f t="shared" si="35"/>
        <v>0</v>
      </c>
      <c r="N95" s="162">
        <f t="shared" si="36"/>
        <v>0</v>
      </c>
      <c r="O95" s="162"/>
      <c r="P95" s="162"/>
      <c r="Q95" s="162">
        <f t="shared" si="48"/>
        <v>0</v>
      </c>
      <c r="R95" s="162">
        <f t="shared" si="49"/>
        <v>0</v>
      </c>
      <c r="S95" s="162">
        <f t="shared" si="50"/>
        <v>0</v>
      </c>
      <c r="T95" s="162"/>
      <c r="U95" s="205"/>
      <c r="V95" s="162">
        <f>Q95+T95</f>
        <v>0</v>
      </c>
      <c r="W95" s="162">
        <f t="shared" si="38"/>
        <v>0</v>
      </c>
      <c r="X95" s="162">
        <f t="shared" si="39"/>
        <v>0</v>
      </c>
      <c r="Y95" s="162"/>
      <c r="Z95" s="162"/>
      <c r="AA95" s="162"/>
      <c r="AB95" s="162">
        <f t="shared" si="41"/>
        <v>0</v>
      </c>
      <c r="AC95" s="162">
        <f t="shared" si="42"/>
        <v>0</v>
      </c>
      <c r="AD95" s="162">
        <f t="shared" si="43"/>
        <v>0</v>
      </c>
      <c r="AE95" s="162"/>
      <c r="AF95" s="158"/>
      <c r="AG95" s="158">
        <v>0</v>
      </c>
      <c r="AH95" s="167" t="e">
        <f t="shared" si="44"/>
        <v>#DIV/0!</v>
      </c>
      <c r="AI95" s="257"/>
    </row>
    <row r="96" spans="1:35" ht="15" customHeight="1" hidden="1">
      <c r="A96" s="198"/>
      <c r="B96" s="158" t="s">
        <v>150</v>
      </c>
      <c r="C96" s="176" t="s">
        <v>249</v>
      </c>
      <c r="D96" s="162"/>
      <c r="E96" s="158"/>
      <c r="F96" s="162"/>
      <c r="G96" s="162"/>
      <c r="H96" s="162">
        <f t="shared" si="33"/>
        <v>0</v>
      </c>
      <c r="I96" s="162"/>
      <c r="J96" s="162"/>
      <c r="K96" s="162">
        <f t="shared" si="40"/>
        <v>0</v>
      </c>
      <c r="L96" s="162">
        <f t="shared" si="34"/>
        <v>0</v>
      </c>
      <c r="M96" s="162">
        <f t="shared" si="35"/>
        <v>0</v>
      </c>
      <c r="N96" s="162">
        <f t="shared" si="36"/>
        <v>0</v>
      </c>
      <c r="O96" s="162"/>
      <c r="P96" s="162"/>
      <c r="Q96" s="162">
        <f t="shared" si="48"/>
        <v>0</v>
      </c>
      <c r="R96" s="162">
        <f t="shared" si="49"/>
        <v>0</v>
      </c>
      <c r="S96" s="162">
        <f t="shared" si="50"/>
        <v>0</v>
      </c>
      <c r="T96" s="162"/>
      <c r="U96" s="205"/>
      <c r="V96" s="162">
        <f>Q96+T96</f>
        <v>0</v>
      </c>
      <c r="W96" s="162">
        <f t="shared" si="38"/>
        <v>0</v>
      </c>
      <c r="X96" s="162">
        <f t="shared" si="39"/>
        <v>0</v>
      </c>
      <c r="Y96" s="162"/>
      <c r="Z96" s="162"/>
      <c r="AA96" s="162"/>
      <c r="AB96" s="162">
        <f t="shared" si="41"/>
        <v>0</v>
      </c>
      <c r="AC96" s="162">
        <f t="shared" si="42"/>
        <v>0</v>
      </c>
      <c r="AD96" s="162">
        <f t="shared" si="43"/>
        <v>0</v>
      </c>
      <c r="AE96" s="162"/>
      <c r="AF96" s="158"/>
      <c r="AG96" s="158">
        <v>0</v>
      </c>
      <c r="AH96" s="167" t="e">
        <f t="shared" si="44"/>
        <v>#DIV/0!</v>
      </c>
      <c r="AI96" s="257"/>
    </row>
    <row r="97" spans="1:35" ht="15.75">
      <c r="A97" s="213" t="s">
        <v>433</v>
      </c>
      <c r="B97" s="158" t="s">
        <v>347</v>
      </c>
      <c r="C97" s="176" t="s">
        <v>249</v>
      </c>
      <c r="D97" s="162">
        <v>4358.478</v>
      </c>
      <c r="E97" s="158">
        <v>4619.98668</v>
      </c>
      <c r="F97" s="162">
        <v>256.61</v>
      </c>
      <c r="G97" s="162">
        <v>186.562</v>
      </c>
      <c r="H97" s="162">
        <f t="shared" si="33"/>
        <v>-70.048</v>
      </c>
      <c r="I97" s="162">
        <v>256.61</v>
      </c>
      <c r="J97" s="162">
        <v>194.469</v>
      </c>
      <c r="K97" s="162">
        <f t="shared" si="40"/>
        <v>-62.14100000000002</v>
      </c>
      <c r="L97" s="162">
        <f t="shared" si="34"/>
        <v>513.22</v>
      </c>
      <c r="M97" s="162">
        <f t="shared" si="35"/>
        <v>381.031</v>
      </c>
      <c r="N97" s="162">
        <f t="shared" si="36"/>
        <v>-132.18900000000002</v>
      </c>
      <c r="O97" s="162">
        <v>256.61</v>
      </c>
      <c r="P97" s="162">
        <v>191.922</v>
      </c>
      <c r="Q97" s="162">
        <f t="shared" si="48"/>
        <v>769.83</v>
      </c>
      <c r="R97" s="162">
        <f t="shared" si="49"/>
        <v>572.953</v>
      </c>
      <c r="S97" s="162">
        <f t="shared" si="50"/>
        <v>-196.87700000000007</v>
      </c>
      <c r="T97" s="162">
        <v>256.61</v>
      </c>
      <c r="U97" s="205">
        <v>249.58</v>
      </c>
      <c r="V97" s="162">
        <v>820.93</v>
      </c>
      <c r="W97" s="162">
        <f t="shared" si="38"/>
        <v>822.533</v>
      </c>
      <c r="X97" s="162">
        <f t="shared" si="39"/>
        <v>1.6030000000000655</v>
      </c>
      <c r="Y97" s="162">
        <v>247.97</v>
      </c>
      <c r="Z97" s="162">
        <v>237.472</v>
      </c>
      <c r="AA97" s="162"/>
      <c r="AB97" s="162">
        <f t="shared" si="41"/>
        <v>1068.8999999999999</v>
      </c>
      <c r="AC97" s="162">
        <f t="shared" si="42"/>
        <v>1060.005</v>
      </c>
      <c r="AD97" s="162">
        <f t="shared" si="43"/>
        <v>-8.894999999999754</v>
      </c>
      <c r="AE97" s="162">
        <v>247.97</v>
      </c>
      <c r="AF97" s="158">
        <v>4619.98668</v>
      </c>
      <c r="AG97" s="158">
        <v>1307.9750000000001</v>
      </c>
      <c r="AH97" s="167">
        <f t="shared" si="44"/>
        <v>28.311228810728956</v>
      </c>
      <c r="AI97" s="257"/>
    </row>
    <row r="98" spans="1:35" ht="15.75">
      <c r="A98" s="213" t="s">
        <v>434</v>
      </c>
      <c r="B98" s="175" t="s">
        <v>276</v>
      </c>
      <c r="C98" s="176" t="s">
        <v>249</v>
      </c>
      <c r="D98" s="162">
        <v>2714.62</v>
      </c>
      <c r="E98" s="158">
        <v>2877.4972000000002</v>
      </c>
      <c r="F98" s="162">
        <f>'[2]ОИТ'!B11/1000</f>
        <v>201</v>
      </c>
      <c r="G98" s="162">
        <v>201</v>
      </c>
      <c r="H98" s="162">
        <f t="shared" si="33"/>
        <v>0</v>
      </c>
      <c r="I98" s="162">
        <f>'[2]ОИТ'!C11/1000</f>
        <v>198.9</v>
      </c>
      <c r="J98" s="162">
        <v>198.9</v>
      </c>
      <c r="K98" s="162">
        <f t="shared" si="40"/>
        <v>0</v>
      </c>
      <c r="L98" s="162">
        <f t="shared" si="34"/>
        <v>399.9</v>
      </c>
      <c r="M98" s="162">
        <f t="shared" si="35"/>
        <v>399.9</v>
      </c>
      <c r="N98" s="162">
        <f t="shared" si="36"/>
        <v>0</v>
      </c>
      <c r="O98" s="162">
        <f>'[2]ОИТ'!D11/1000</f>
        <v>206.5</v>
      </c>
      <c r="P98" s="162">
        <v>211.642</v>
      </c>
      <c r="Q98" s="162">
        <f t="shared" si="48"/>
        <v>606.4</v>
      </c>
      <c r="R98" s="162">
        <f t="shared" si="49"/>
        <v>611.5419999999999</v>
      </c>
      <c r="S98" s="162">
        <f t="shared" si="50"/>
        <v>5.141999999999939</v>
      </c>
      <c r="T98" s="162">
        <f>'[2]ОИТ'!E11/1000</f>
        <v>153.25</v>
      </c>
      <c r="U98" s="205">
        <v>170.25</v>
      </c>
      <c r="V98" s="162">
        <v>781.79</v>
      </c>
      <c r="W98" s="162">
        <f t="shared" si="38"/>
        <v>781.7919999999999</v>
      </c>
      <c r="X98" s="162">
        <f t="shared" si="39"/>
        <v>0.0019999999999527063</v>
      </c>
      <c r="Y98" s="162">
        <f>'[2]ОИТ'!F11/1000</f>
        <v>178.35</v>
      </c>
      <c r="Z98" s="162">
        <v>172.9</v>
      </c>
      <c r="AA98" s="162"/>
      <c r="AB98" s="162">
        <f t="shared" si="41"/>
        <v>960.14</v>
      </c>
      <c r="AC98" s="162">
        <f t="shared" si="42"/>
        <v>954.6919999999999</v>
      </c>
      <c r="AD98" s="162">
        <f t="shared" si="43"/>
        <v>-5.448000000000093</v>
      </c>
      <c r="AE98" s="162">
        <f>'[2]ОИТ'!G11/1000</f>
        <v>150.2</v>
      </c>
      <c r="AF98" s="158">
        <v>2877.4972000000002</v>
      </c>
      <c r="AG98" s="158">
        <v>1104.8919999999998</v>
      </c>
      <c r="AH98" s="167">
        <f t="shared" si="44"/>
        <v>38.39767420103831</v>
      </c>
      <c r="AI98" s="257"/>
    </row>
    <row r="99" spans="1:35" ht="15.75">
      <c r="A99" s="213" t="s">
        <v>435</v>
      </c>
      <c r="B99" s="158" t="s">
        <v>359</v>
      </c>
      <c r="C99" s="176" t="s">
        <v>249</v>
      </c>
      <c r="D99" s="162">
        <v>1262.387</v>
      </c>
      <c r="E99" s="158">
        <v>1338.13022</v>
      </c>
      <c r="F99" s="162">
        <v>111.51</v>
      </c>
      <c r="G99" s="162">
        <v>341.689</v>
      </c>
      <c r="H99" s="162">
        <f t="shared" si="33"/>
        <v>230.17900000000003</v>
      </c>
      <c r="I99" s="162">
        <v>111.51</v>
      </c>
      <c r="J99" s="162"/>
      <c r="K99" s="162">
        <f t="shared" si="40"/>
        <v>-111.51</v>
      </c>
      <c r="L99" s="162">
        <f t="shared" si="34"/>
        <v>223.02</v>
      </c>
      <c r="M99" s="162">
        <f t="shared" si="35"/>
        <v>341.689</v>
      </c>
      <c r="N99" s="162">
        <f t="shared" si="36"/>
        <v>118.66900000000001</v>
      </c>
      <c r="O99" s="162">
        <v>111.51</v>
      </c>
      <c r="P99" s="162"/>
      <c r="Q99" s="162">
        <f t="shared" si="48"/>
        <v>334.53000000000003</v>
      </c>
      <c r="R99" s="162">
        <f t="shared" si="49"/>
        <v>341.689</v>
      </c>
      <c r="S99" s="162">
        <f t="shared" si="50"/>
        <v>7.158999999999992</v>
      </c>
      <c r="T99" s="162">
        <v>111.51</v>
      </c>
      <c r="U99" s="205">
        <v>321.566</v>
      </c>
      <c r="V99" s="162">
        <v>341.69</v>
      </c>
      <c r="W99" s="162">
        <f t="shared" si="38"/>
        <v>663.255</v>
      </c>
      <c r="X99" s="162">
        <f t="shared" si="39"/>
        <v>321.565</v>
      </c>
      <c r="Y99" s="162">
        <v>104.35</v>
      </c>
      <c r="Z99" s="162"/>
      <c r="AA99" s="162"/>
      <c r="AB99" s="162">
        <f t="shared" si="41"/>
        <v>446.03999999999996</v>
      </c>
      <c r="AC99" s="162">
        <f t="shared" si="42"/>
        <v>663.255</v>
      </c>
      <c r="AD99" s="162">
        <f t="shared" si="43"/>
        <v>217.21500000000003</v>
      </c>
      <c r="AE99" s="162">
        <v>111.51</v>
      </c>
      <c r="AF99" s="158">
        <v>1338.13022</v>
      </c>
      <c r="AG99" s="158">
        <v>774.765</v>
      </c>
      <c r="AH99" s="167">
        <f t="shared" si="44"/>
        <v>57.899073529630016</v>
      </c>
      <c r="AI99" s="257"/>
    </row>
    <row r="100" spans="1:35" ht="15" customHeight="1" hidden="1">
      <c r="A100" s="198" t="s">
        <v>151</v>
      </c>
      <c r="B100" s="158" t="s">
        <v>364</v>
      </c>
      <c r="C100" s="176" t="s">
        <v>249</v>
      </c>
      <c r="D100" s="162"/>
      <c r="E100" s="158"/>
      <c r="F100" s="162"/>
      <c r="G100" s="162"/>
      <c r="H100" s="162">
        <f t="shared" si="33"/>
        <v>0</v>
      </c>
      <c r="I100" s="162"/>
      <c r="J100" s="162"/>
      <c r="K100" s="162">
        <f t="shared" si="40"/>
        <v>0</v>
      </c>
      <c r="L100" s="162">
        <f t="shared" si="34"/>
        <v>0</v>
      </c>
      <c r="M100" s="162">
        <f t="shared" si="35"/>
        <v>0</v>
      </c>
      <c r="N100" s="162">
        <f t="shared" si="36"/>
        <v>0</v>
      </c>
      <c r="O100" s="162"/>
      <c r="P100" s="162"/>
      <c r="Q100" s="162">
        <f t="shared" si="48"/>
        <v>0</v>
      </c>
      <c r="R100" s="162">
        <f t="shared" si="49"/>
        <v>0</v>
      </c>
      <c r="S100" s="162">
        <f t="shared" si="50"/>
        <v>0</v>
      </c>
      <c r="T100" s="162"/>
      <c r="U100" s="205"/>
      <c r="V100" s="162">
        <f>Q100+T100</f>
        <v>0</v>
      </c>
      <c r="W100" s="162">
        <f t="shared" si="38"/>
        <v>0</v>
      </c>
      <c r="X100" s="162">
        <f t="shared" si="39"/>
        <v>0</v>
      </c>
      <c r="Y100" s="162"/>
      <c r="Z100" s="162"/>
      <c r="AA100" s="162"/>
      <c r="AB100" s="162">
        <f t="shared" si="41"/>
        <v>0</v>
      </c>
      <c r="AC100" s="162">
        <f t="shared" si="42"/>
        <v>0</v>
      </c>
      <c r="AD100" s="162">
        <f t="shared" si="43"/>
        <v>0</v>
      </c>
      <c r="AE100" s="162"/>
      <c r="AF100" s="158"/>
      <c r="AG100" s="158">
        <v>0</v>
      </c>
      <c r="AH100" s="167" t="e">
        <f t="shared" si="44"/>
        <v>#DIV/0!</v>
      </c>
      <c r="AI100" s="257"/>
    </row>
    <row r="101" spans="1:35" ht="15.75">
      <c r="A101" s="213" t="s">
        <v>436</v>
      </c>
      <c r="B101" s="158" t="s">
        <v>365</v>
      </c>
      <c r="C101" s="176" t="s">
        <v>249</v>
      </c>
      <c r="D101" s="162">
        <f>38.52/1.07*1.06</f>
        <v>38.160000000000004</v>
      </c>
      <c r="E101" s="158">
        <v>40.449600000000004</v>
      </c>
      <c r="F101" s="162"/>
      <c r="G101" s="162"/>
      <c r="H101" s="162">
        <f t="shared" si="33"/>
        <v>0</v>
      </c>
      <c r="I101" s="162"/>
      <c r="J101" s="162"/>
      <c r="K101" s="162">
        <f t="shared" si="40"/>
        <v>0</v>
      </c>
      <c r="L101" s="162">
        <f t="shared" si="34"/>
        <v>0</v>
      </c>
      <c r="M101" s="162">
        <f t="shared" si="35"/>
        <v>0</v>
      </c>
      <c r="N101" s="162">
        <f t="shared" si="36"/>
        <v>0</v>
      </c>
      <c r="O101" s="162"/>
      <c r="P101" s="162"/>
      <c r="Q101" s="162">
        <f t="shared" si="48"/>
        <v>0</v>
      </c>
      <c r="R101" s="162">
        <f t="shared" si="49"/>
        <v>0</v>
      </c>
      <c r="S101" s="162">
        <f t="shared" si="50"/>
        <v>0</v>
      </c>
      <c r="T101" s="162"/>
      <c r="U101" s="205"/>
      <c r="V101" s="162">
        <f>Q101+T101</f>
        <v>0</v>
      </c>
      <c r="W101" s="162">
        <f t="shared" si="38"/>
        <v>0</v>
      </c>
      <c r="X101" s="162">
        <f t="shared" si="39"/>
        <v>0</v>
      </c>
      <c r="Y101" s="162"/>
      <c r="Z101" s="162"/>
      <c r="AA101" s="162"/>
      <c r="AB101" s="162">
        <f t="shared" si="41"/>
        <v>0</v>
      </c>
      <c r="AC101" s="162">
        <f t="shared" si="42"/>
        <v>0</v>
      </c>
      <c r="AD101" s="162">
        <f t="shared" si="43"/>
        <v>0</v>
      </c>
      <c r="AE101" s="162"/>
      <c r="AF101" s="158">
        <v>40.449600000000004</v>
      </c>
      <c r="AG101" s="158">
        <v>0</v>
      </c>
      <c r="AH101" s="167">
        <f t="shared" si="44"/>
        <v>0</v>
      </c>
      <c r="AI101" s="257"/>
    </row>
    <row r="102" spans="1:35" ht="15.75">
      <c r="A102" s="213" t="s">
        <v>437</v>
      </c>
      <c r="B102" s="158" t="s">
        <v>60</v>
      </c>
      <c r="C102" s="176" t="s">
        <v>249</v>
      </c>
      <c r="D102" s="162">
        <f>1300*1.06</f>
        <v>1378</v>
      </c>
      <c r="E102" s="187" t="s">
        <v>124</v>
      </c>
      <c r="F102" s="162"/>
      <c r="G102" s="162">
        <v>750</v>
      </c>
      <c r="H102" s="162">
        <f t="shared" si="33"/>
        <v>750</v>
      </c>
      <c r="I102" s="162"/>
      <c r="J102" s="162"/>
      <c r="K102" s="162">
        <f t="shared" si="40"/>
        <v>0</v>
      </c>
      <c r="L102" s="162">
        <f t="shared" si="34"/>
        <v>0</v>
      </c>
      <c r="M102" s="162">
        <f t="shared" si="35"/>
        <v>750</v>
      </c>
      <c r="N102" s="162">
        <f t="shared" si="36"/>
        <v>750</v>
      </c>
      <c r="O102" s="162">
        <v>800</v>
      </c>
      <c r="P102" s="162"/>
      <c r="Q102" s="162">
        <f t="shared" si="48"/>
        <v>800</v>
      </c>
      <c r="R102" s="162">
        <f t="shared" si="49"/>
        <v>750</v>
      </c>
      <c r="S102" s="162">
        <f t="shared" si="50"/>
        <v>-50</v>
      </c>
      <c r="T102" s="162"/>
      <c r="U102" s="205">
        <v>73</v>
      </c>
      <c r="V102" s="162">
        <v>823</v>
      </c>
      <c r="W102" s="162">
        <f t="shared" si="38"/>
        <v>823</v>
      </c>
      <c r="X102" s="162">
        <f t="shared" si="39"/>
        <v>0</v>
      </c>
      <c r="Y102" s="162"/>
      <c r="Z102" s="162"/>
      <c r="AA102" s="162"/>
      <c r="AB102" s="162">
        <f t="shared" si="41"/>
        <v>823</v>
      </c>
      <c r="AC102" s="162">
        <f t="shared" si="42"/>
        <v>823</v>
      </c>
      <c r="AD102" s="162">
        <f t="shared" si="43"/>
        <v>0</v>
      </c>
      <c r="AE102" s="162"/>
      <c r="AF102" s="187" t="s">
        <v>124</v>
      </c>
      <c r="AG102" s="187">
        <v>823</v>
      </c>
      <c r="AH102" s="167"/>
      <c r="AI102" s="257"/>
    </row>
    <row r="103" spans="1:35" ht="15.75">
      <c r="A103" s="213" t="s">
        <v>438</v>
      </c>
      <c r="B103" s="158" t="s">
        <v>377</v>
      </c>
      <c r="C103" s="176" t="s">
        <v>249</v>
      </c>
      <c r="D103" s="162">
        <f>490.01*1.06*1.06</f>
        <v>550.5752360000001</v>
      </c>
      <c r="E103" s="158">
        <v>583.6097501600002</v>
      </c>
      <c r="F103" s="162">
        <v>48.634</v>
      </c>
      <c r="G103" s="162">
        <v>35.787</v>
      </c>
      <c r="H103" s="162">
        <f t="shared" si="33"/>
        <v>-12.847000000000001</v>
      </c>
      <c r="I103" s="162">
        <v>48.634</v>
      </c>
      <c r="J103" s="162">
        <v>124.021</v>
      </c>
      <c r="K103" s="162">
        <f t="shared" si="40"/>
        <v>75.387</v>
      </c>
      <c r="L103" s="162">
        <f t="shared" si="34"/>
        <v>97.268</v>
      </c>
      <c r="M103" s="162">
        <f t="shared" si="35"/>
        <v>159.808</v>
      </c>
      <c r="N103" s="162">
        <f t="shared" si="36"/>
        <v>62.53999999999999</v>
      </c>
      <c r="O103" s="162">
        <v>48.634</v>
      </c>
      <c r="P103" s="162"/>
      <c r="Q103" s="162">
        <f t="shared" si="48"/>
        <v>145.902</v>
      </c>
      <c r="R103" s="162">
        <f t="shared" si="49"/>
        <v>159.808</v>
      </c>
      <c r="S103" s="162">
        <f t="shared" si="50"/>
        <v>13.906000000000006</v>
      </c>
      <c r="T103" s="162">
        <v>48.634</v>
      </c>
      <c r="U103" s="205">
        <v>8.021</v>
      </c>
      <c r="V103" s="162">
        <v>276.03</v>
      </c>
      <c r="W103" s="162">
        <f t="shared" si="38"/>
        <v>167.829</v>
      </c>
      <c r="X103" s="162">
        <f t="shared" si="39"/>
        <v>-108.20099999999996</v>
      </c>
      <c r="Y103" s="162">
        <v>106.25</v>
      </c>
      <c r="Z103" s="162"/>
      <c r="AA103" s="162"/>
      <c r="AB103" s="162">
        <f t="shared" si="41"/>
        <v>382.28</v>
      </c>
      <c r="AC103" s="162">
        <f t="shared" si="42"/>
        <v>167.829</v>
      </c>
      <c r="AD103" s="162">
        <f t="shared" si="43"/>
        <v>-214.45099999999996</v>
      </c>
      <c r="AE103" s="162">
        <v>106.25</v>
      </c>
      <c r="AF103" s="158">
        <v>583.6097501600002</v>
      </c>
      <c r="AG103" s="158">
        <v>274.079</v>
      </c>
      <c r="AH103" s="167">
        <f t="shared" si="44"/>
        <v>46.962717796414395</v>
      </c>
      <c r="AI103" s="257"/>
    </row>
    <row r="104" spans="1:35" ht="15.75">
      <c r="A104" s="213" t="s">
        <v>439</v>
      </c>
      <c r="B104" s="175" t="s">
        <v>366</v>
      </c>
      <c r="C104" s="176" t="s">
        <v>249</v>
      </c>
      <c r="D104" s="162">
        <v>313.38</v>
      </c>
      <c r="E104" s="158">
        <v>332.1828</v>
      </c>
      <c r="F104" s="162">
        <v>27.68</v>
      </c>
      <c r="G104" s="162">
        <v>8.73</v>
      </c>
      <c r="H104" s="162">
        <f t="shared" si="33"/>
        <v>-18.95</v>
      </c>
      <c r="I104" s="162">
        <v>27.68</v>
      </c>
      <c r="J104" s="162">
        <v>23.26</v>
      </c>
      <c r="K104" s="162">
        <f t="shared" si="40"/>
        <v>-4.419999999999998</v>
      </c>
      <c r="L104" s="162">
        <f t="shared" si="34"/>
        <v>55.36</v>
      </c>
      <c r="M104" s="162">
        <f t="shared" si="35"/>
        <v>31.990000000000002</v>
      </c>
      <c r="N104" s="162">
        <f t="shared" si="36"/>
        <v>-23.369999999999997</v>
      </c>
      <c r="O104" s="162">
        <v>27.68</v>
      </c>
      <c r="P104" s="162">
        <v>13.184</v>
      </c>
      <c r="Q104" s="162">
        <f t="shared" si="48"/>
        <v>83.03999999999999</v>
      </c>
      <c r="R104" s="162">
        <f t="shared" si="49"/>
        <v>45.174</v>
      </c>
      <c r="S104" s="162">
        <f t="shared" si="50"/>
        <v>-37.86599999999999</v>
      </c>
      <c r="T104" s="162">
        <v>27.68</v>
      </c>
      <c r="U104" s="205"/>
      <c r="V104" s="162">
        <v>72.85</v>
      </c>
      <c r="W104" s="162">
        <f t="shared" si="38"/>
        <v>45.174</v>
      </c>
      <c r="X104" s="162">
        <f t="shared" si="39"/>
        <v>-27.675999999999995</v>
      </c>
      <c r="Y104" s="162">
        <v>27.68</v>
      </c>
      <c r="Z104" s="162">
        <v>30.606</v>
      </c>
      <c r="AA104" s="162"/>
      <c r="AB104" s="162">
        <f t="shared" si="41"/>
        <v>100.53</v>
      </c>
      <c r="AC104" s="162">
        <f t="shared" si="42"/>
        <v>75.78</v>
      </c>
      <c r="AD104" s="162">
        <f t="shared" si="43"/>
        <v>-24.75</v>
      </c>
      <c r="AE104" s="162">
        <v>27.68</v>
      </c>
      <c r="AF104" s="158">
        <v>332.1828</v>
      </c>
      <c r="AG104" s="158">
        <v>103.46000000000001</v>
      </c>
      <c r="AH104" s="167">
        <f t="shared" si="44"/>
        <v>31.145501814061415</v>
      </c>
      <c r="AI104" s="257"/>
    </row>
    <row r="105" spans="1:35" ht="15.75">
      <c r="A105" s="213" t="s">
        <v>440</v>
      </c>
      <c r="B105" s="169" t="s">
        <v>61</v>
      </c>
      <c r="C105" s="176" t="s">
        <v>249</v>
      </c>
      <c r="D105" s="161">
        <f aca="true" t="shared" si="51" ref="D105:P105">D107+D108+D109+D113+D114+D115</f>
        <v>5984.242728</v>
      </c>
      <c r="E105" s="161">
        <f t="shared" si="51"/>
        <v>6354.58511168</v>
      </c>
      <c r="F105" s="161">
        <f t="shared" si="51"/>
        <v>296.66400000000004</v>
      </c>
      <c r="G105" s="161">
        <f t="shared" si="51"/>
        <v>474.39099999999996</v>
      </c>
      <c r="H105" s="161">
        <f t="shared" si="51"/>
        <v>177.72699999999998</v>
      </c>
      <c r="I105" s="161">
        <f t="shared" si="51"/>
        <v>480.66400000000004</v>
      </c>
      <c r="J105" s="161">
        <f t="shared" si="51"/>
        <v>379.049</v>
      </c>
      <c r="K105" s="161">
        <f t="shared" si="51"/>
        <v>-101.615</v>
      </c>
      <c r="L105" s="161">
        <f t="shared" si="51"/>
        <v>777.3280000000001</v>
      </c>
      <c r="M105" s="161">
        <f t="shared" si="51"/>
        <v>853.44</v>
      </c>
      <c r="N105" s="161">
        <f t="shared" si="51"/>
        <v>76.11199999999997</v>
      </c>
      <c r="O105" s="161">
        <f t="shared" si="51"/>
        <v>416.66400000000004</v>
      </c>
      <c r="P105" s="161">
        <f t="shared" si="51"/>
        <v>528.212</v>
      </c>
      <c r="Q105" s="162">
        <f t="shared" si="48"/>
        <v>1193.9920000000002</v>
      </c>
      <c r="R105" s="162">
        <f t="shared" si="49"/>
        <v>1381.652</v>
      </c>
      <c r="S105" s="161">
        <f>S107+S108+S109+S113+S114+S115</f>
        <v>187.65999999999994</v>
      </c>
      <c r="T105" s="161">
        <f>T107+T108+T109+T113+T114+T115</f>
        <v>696.664</v>
      </c>
      <c r="U105" s="204">
        <f>U107+U108+U109+U113+U114+U115</f>
        <v>616.41</v>
      </c>
      <c r="V105" s="161">
        <f>V107+V108+V109+V113+V114+V115</f>
        <v>1987.18</v>
      </c>
      <c r="W105" s="161">
        <f>W107+W108+W109+W113+W114+W115</f>
        <v>1998.0620000000001</v>
      </c>
      <c r="X105" s="161">
        <f aca="true" t="shared" si="52" ref="X105:AF105">X107+X108+X109+X113+X114+X115</f>
        <v>94.38599999999994</v>
      </c>
      <c r="Y105" s="161">
        <f t="shared" si="52"/>
        <v>468.15000000000003</v>
      </c>
      <c r="Z105" s="161">
        <f t="shared" si="52"/>
        <v>699.1669999999999</v>
      </c>
      <c r="AA105" s="161">
        <f t="shared" si="52"/>
        <v>0</v>
      </c>
      <c r="AB105" s="161">
        <f t="shared" si="52"/>
        <v>2455.33</v>
      </c>
      <c r="AC105" s="161">
        <f t="shared" si="52"/>
        <v>2697.229</v>
      </c>
      <c r="AD105" s="161">
        <f t="shared" si="52"/>
        <v>241.89900000000006</v>
      </c>
      <c r="AE105" s="161">
        <f t="shared" si="52"/>
        <v>748.15</v>
      </c>
      <c r="AF105" s="161">
        <f t="shared" si="52"/>
        <v>6354.58511168</v>
      </c>
      <c r="AG105" s="161">
        <v>3445.379</v>
      </c>
      <c r="AH105" s="167">
        <f t="shared" si="44"/>
        <v>54.218787528193545</v>
      </c>
      <c r="AI105" s="257"/>
    </row>
    <row r="106" spans="1:35" ht="15" customHeight="1" hidden="1">
      <c r="A106" s="198" t="s">
        <v>152</v>
      </c>
      <c r="B106" s="175" t="s">
        <v>367</v>
      </c>
      <c r="C106" s="176" t="s">
        <v>249</v>
      </c>
      <c r="D106" s="162"/>
      <c r="E106" s="158"/>
      <c r="F106" s="162"/>
      <c r="G106" s="162"/>
      <c r="H106" s="162">
        <f t="shared" si="33"/>
        <v>0</v>
      </c>
      <c r="I106" s="162"/>
      <c r="J106" s="162"/>
      <c r="K106" s="162">
        <f t="shared" si="40"/>
        <v>0</v>
      </c>
      <c r="L106" s="162">
        <f t="shared" si="34"/>
        <v>0</v>
      </c>
      <c r="M106" s="162">
        <f t="shared" si="35"/>
        <v>0</v>
      </c>
      <c r="N106" s="162">
        <f t="shared" si="36"/>
        <v>0</v>
      </c>
      <c r="O106" s="162"/>
      <c r="P106" s="162"/>
      <c r="Q106" s="162">
        <f t="shared" si="48"/>
        <v>0</v>
      </c>
      <c r="R106" s="162">
        <f t="shared" si="49"/>
        <v>0</v>
      </c>
      <c r="S106" s="162">
        <f aca="true" t="shared" si="53" ref="S106:S116">R106-Q106</f>
        <v>0</v>
      </c>
      <c r="T106" s="162"/>
      <c r="U106" s="205"/>
      <c r="V106" s="162">
        <f>Q106+T106</f>
        <v>0</v>
      </c>
      <c r="W106" s="162">
        <f t="shared" si="38"/>
        <v>0</v>
      </c>
      <c r="X106" s="162">
        <f t="shared" si="39"/>
        <v>0</v>
      </c>
      <c r="Y106" s="162"/>
      <c r="Z106" s="162"/>
      <c r="AA106" s="162"/>
      <c r="AB106" s="162">
        <f t="shared" si="41"/>
        <v>0</v>
      </c>
      <c r="AC106" s="162">
        <f t="shared" si="42"/>
        <v>0</v>
      </c>
      <c r="AD106" s="162">
        <f t="shared" si="43"/>
        <v>0</v>
      </c>
      <c r="AE106" s="162"/>
      <c r="AF106" s="158"/>
      <c r="AG106" s="158">
        <v>0</v>
      </c>
      <c r="AH106" s="167" t="e">
        <f t="shared" si="44"/>
        <v>#DIV/0!</v>
      </c>
      <c r="AI106" s="257"/>
    </row>
    <row r="107" spans="1:35" ht="15.75">
      <c r="A107" s="213" t="s">
        <v>441</v>
      </c>
      <c r="B107" s="175" t="s">
        <v>358</v>
      </c>
      <c r="C107" s="176" t="s">
        <v>249</v>
      </c>
      <c r="D107" s="162">
        <f>1539.48*1.06*1.06</f>
        <v>1729.7597280000002</v>
      </c>
      <c r="E107" s="158">
        <v>1833.5453116800004</v>
      </c>
      <c r="F107" s="162">
        <v>80</v>
      </c>
      <c r="G107" s="162">
        <v>186.637</v>
      </c>
      <c r="H107" s="162">
        <f t="shared" si="33"/>
        <v>106.637</v>
      </c>
      <c r="I107" s="162">
        <v>200</v>
      </c>
      <c r="J107" s="162">
        <v>180.949</v>
      </c>
      <c r="K107" s="162">
        <f t="shared" si="40"/>
        <v>-19.050999999999988</v>
      </c>
      <c r="L107" s="162">
        <f t="shared" si="34"/>
        <v>280</v>
      </c>
      <c r="M107" s="162">
        <f t="shared" si="35"/>
        <v>367.586</v>
      </c>
      <c r="N107" s="162">
        <f t="shared" si="36"/>
        <v>87.58600000000001</v>
      </c>
      <c r="O107" s="162">
        <v>200</v>
      </c>
      <c r="P107" s="162">
        <v>303.143</v>
      </c>
      <c r="Q107" s="162">
        <f t="shared" si="48"/>
        <v>480</v>
      </c>
      <c r="R107" s="162">
        <f t="shared" si="49"/>
        <v>670.729</v>
      </c>
      <c r="S107" s="162">
        <f t="shared" si="53"/>
        <v>190.72900000000004</v>
      </c>
      <c r="T107" s="162">
        <v>200</v>
      </c>
      <c r="U107" s="205">
        <v>95.743</v>
      </c>
      <c r="V107" s="162">
        <v>752.67</v>
      </c>
      <c r="W107" s="162">
        <f t="shared" si="38"/>
        <v>766.472</v>
      </c>
      <c r="X107" s="162">
        <f t="shared" si="39"/>
        <v>13.802000000000021</v>
      </c>
      <c r="Y107" s="162">
        <v>200</v>
      </c>
      <c r="Z107" s="162">
        <v>342.924</v>
      </c>
      <c r="AA107" s="162"/>
      <c r="AB107" s="162">
        <f t="shared" si="41"/>
        <v>952.67</v>
      </c>
      <c r="AC107" s="162">
        <f t="shared" si="42"/>
        <v>1109.396</v>
      </c>
      <c r="AD107" s="162">
        <f t="shared" si="43"/>
        <v>156.726</v>
      </c>
      <c r="AE107" s="162">
        <v>200</v>
      </c>
      <c r="AF107" s="158">
        <v>1833.5453116800004</v>
      </c>
      <c r="AG107" s="158">
        <v>1309.396</v>
      </c>
      <c r="AH107" s="167">
        <f t="shared" si="44"/>
        <v>71.41334286417256</v>
      </c>
      <c r="AI107" s="257"/>
    </row>
    <row r="108" spans="1:35" ht="15.75">
      <c r="A108" s="213" t="s">
        <v>442</v>
      </c>
      <c r="B108" s="184" t="s">
        <v>153</v>
      </c>
      <c r="C108" s="176" t="s">
        <v>249</v>
      </c>
      <c r="D108" s="162">
        <v>644.2</v>
      </c>
      <c r="E108" s="158">
        <v>682.8520000000001</v>
      </c>
      <c r="F108" s="162">
        <v>22.8</v>
      </c>
      <c r="G108" s="162">
        <v>21.713</v>
      </c>
      <c r="H108" s="162">
        <f t="shared" si="33"/>
        <v>-1.0869999999999997</v>
      </c>
      <c r="I108" s="162">
        <v>22.8</v>
      </c>
      <c r="J108" s="162">
        <v>21.932</v>
      </c>
      <c r="K108" s="162">
        <f t="shared" si="40"/>
        <v>-0.8680000000000021</v>
      </c>
      <c r="L108" s="162">
        <f t="shared" si="34"/>
        <v>45.6</v>
      </c>
      <c r="M108" s="162">
        <f t="shared" si="35"/>
        <v>43.644999999999996</v>
      </c>
      <c r="N108" s="162">
        <f t="shared" si="36"/>
        <v>-1.9550000000000054</v>
      </c>
      <c r="O108" s="162">
        <v>22.8</v>
      </c>
      <c r="P108" s="162">
        <v>20.337</v>
      </c>
      <c r="Q108" s="162">
        <f t="shared" si="48"/>
        <v>68.4</v>
      </c>
      <c r="R108" s="162">
        <f t="shared" si="49"/>
        <v>63.982</v>
      </c>
      <c r="S108" s="162">
        <f t="shared" si="53"/>
        <v>-4.418000000000006</v>
      </c>
      <c r="T108" s="162">
        <v>22.8</v>
      </c>
      <c r="U108" s="205">
        <v>19.876</v>
      </c>
      <c r="V108" s="162">
        <v>86.78</v>
      </c>
      <c r="W108" s="162">
        <f t="shared" si="38"/>
        <v>83.858</v>
      </c>
      <c r="X108" s="162">
        <f t="shared" si="39"/>
        <v>-2.921999999999997</v>
      </c>
      <c r="Y108" s="162">
        <v>22.8</v>
      </c>
      <c r="Z108" s="162">
        <v>19.288</v>
      </c>
      <c r="AA108" s="162"/>
      <c r="AB108" s="162">
        <f t="shared" si="41"/>
        <v>109.58</v>
      </c>
      <c r="AC108" s="162">
        <f t="shared" si="42"/>
        <v>103.146</v>
      </c>
      <c r="AD108" s="162">
        <f t="shared" si="43"/>
        <v>-6.4339999999999975</v>
      </c>
      <c r="AE108" s="162">
        <v>22.8</v>
      </c>
      <c r="AF108" s="158">
        <v>682.8520000000001</v>
      </c>
      <c r="AG108" s="158">
        <v>125.946</v>
      </c>
      <c r="AH108" s="167">
        <f t="shared" si="44"/>
        <v>18.444113805041205</v>
      </c>
      <c r="AI108" s="257"/>
    </row>
    <row r="109" spans="1:35" ht="15.75">
      <c r="A109" s="213" t="s">
        <v>443</v>
      </c>
      <c r="B109" s="158" t="s">
        <v>62</v>
      </c>
      <c r="C109" s="176" t="s">
        <v>249</v>
      </c>
      <c r="D109" s="158">
        <v>1288.07</v>
      </c>
      <c r="E109" s="158">
        <v>1365.3542</v>
      </c>
      <c r="F109" s="158">
        <f>F110+F111+F112</f>
        <v>88.4</v>
      </c>
      <c r="G109" s="158">
        <f>G110+G111+G112</f>
        <v>95.47099999999999</v>
      </c>
      <c r="H109" s="158">
        <f>H110+H111+H112</f>
        <v>7.070999999999987</v>
      </c>
      <c r="I109" s="158">
        <f>I110+I111+I112</f>
        <v>88.4</v>
      </c>
      <c r="J109" s="158">
        <v>159.976</v>
      </c>
      <c r="K109" s="162">
        <f t="shared" si="40"/>
        <v>71.576</v>
      </c>
      <c r="L109" s="162">
        <f t="shared" si="34"/>
        <v>176.8</v>
      </c>
      <c r="M109" s="162">
        <f t="shared" si="35"/>
        <v>255.447</v>
      </c>
      <c r="N109" s="162">
        <f t="shared" si="36"/>
        <v>78.64699999999999</v>
      </c>
      <c r="O109" s="158">
        <f>O110+O111+O112</f>
        <v>88.4</v>
      </c>
      <c r="P109" s="158">
        <f>P110+P111+P112</f>
        <v>146.884</v>
      </c>
      <c r="Q109" s="162">
        <f t="shared" si="48"/>
        <v>265.20000000000005</v>
      </c>
      <c r="R109" s="162">
        <f t="shared" si="49"/>
        <v>402.331</v>
      </c>
      <c r="S109" s="162">
        <f t="shared" si="53"/>
        <v>137.13099999999997</v>
      </c>
      <c r="T109" s="158">
        <f>T110+T111+T112</f>
        <v>88.4</v>
      </c>
      <c r="U109" s="201">
        <f>U110+U111+U112</f>
        <v>194.752</v>
      </c>
      <c r="V109" s="158">
        <v>597.08</v>
      </c>
      <c r="W109" s="162">
        <f t="shared" si="38"/>
        <v>597.0830000000001</v>
      </c>
      <c r="X109" s="158">
        <f>X110+X111+X112</f>
        <v>83.50699999999995</v>
      </c>
      <c r="Y109" s="158">
        <v>194.75</v>
      </c>
      <c r="Z109" s="158">
        <f>Z110+Z111+Z112</f>
        <v>63.207</v>
      </c>
      <c r="AA109" s="158"/>
      <c r="AB109" s="162">
        <f t="shared" si="41"/>
        <v>791.83</v>
      </c>
      <c r="AC109" s="162">
        <f t="shared" si="42"/>
        <v>660.2900000000001</v>
      </c>
      <c r="AD109" s="162">
        <f t="shared" si="43"/>
        <v>-131.53999999999996</v>
      </c>
      <c r="AE109" s="158">
        <v>194.75</v>
      </c>
      <c r="AF109" s="158">
        <v>1365.3542</v>
      </c>
      <c r="AG109" s="158">
        <v>855.0400000000001</v>
      </c>
      <c r="AH109" s="167">
        <f t="shared" si="44"/>
        <v>62.624042904031796</v>
      </c>
      <c r="AI109" s="257"/>
    </row>
    <row r="110" spans="1:35" ht="15" customHeight="1" hidden="1">
      <c r="A110" s="198"/>
      <c r="B110" s="158" t="s">
        <v>154</v>
      </c>
      <c r="C110" s="176" t="s">
        <v>249</v>
      </c>
      <c r="D110" s="158"/>
      <c r="E110" s="158"/>
      <c r="F110" s="158">
        <v>88.4</v>
      </c>
      <c r="G110" s="158">
        <v>78.954</v>
      </c>
      <c r="H110" s="162">
        <f t="shared" si="33"/>
        <v>-9.446000000000012</v>
      </c>
      <c r="I110" s="158">
        <v>88.4</v>
      </c>
      <c r="J110" s="158"/>
      <c r="K110" s="162">
        <f t="shared" si="40"/>
        <v>-88.4</v>
      </c>
      <c r="L110" s="162">
        <f t="shared" si="34"/>
        <v>176.8</v>
      </c>
      <c r="M110" s="162">
        <f t="shared" si="35"/>
        <v>78.954</v>
      </c>
      <c r="N110" s="162">
        <f t="shared" si="36"/>
        <v>-97.84600000000002</v>
      </c>
      <c r="O110" s="158">
        <v>88.4</v>
      </c>
      <c r="P110" s="158">
        <v>146.884</v>
      </c>
      <c r="Q110" s="162">
        <f t="shared" si="48"/>
        <v>265.20000000000005</v>
      </c>
      <c r="R110" s="162">
        <f t="shared" si="49"/>
        <v>225.83799999999997</v>
      </c>
      <c r="S110" s="162">
        <f t="shared" si="53"/>
        <v>-39.36200000000008</v>
      </c>
      <c r="T110" s="158">
        <v>88.4</v>
      </c>
      <c r="U110" s="201">
        <v>161.716</v>
      </c>
      <c r="V110" s="162">
        <f>Q110+T110</f>
        <v>353.6</v>
      </c>
      <c r="W110" s="162">
        <f t="shared" si="38"/>
        <v>387.554</v>
      </c>
      <c r="X110" s="162">
        <f t="shared" si="39"/>
        <v>33.95399999999995</v>
      </c>
      <c r="Y110" s="158">
        <v>88.4</v>
      </c>
      <c r="Z110" s="158">
        <v>55.313</v>
      </c>
      <c r="AA110" s="158"/>
      <c r="AB110" s="162">
        <f t="shared" si="41"/>
        <v>442</v>
      </c>
      <c r="AC110" s="162">
        <f t="shared" si="42"/>
        <v>442.86699999999996</v>
      </c>
      <c r="AD110" s="162">
        <f t="shared" si="43"/>
        <v>0.8669999999999618</v>
      </c>
      <c r="AE110" s="158">
        <v>88.4</v>
      </c>
      <c r="AF110" s="158"/>
      <c r="AG110" s="158">
        <v>531.2669999999999</v>
      </c>
      <c r="AH110" s="167" t="e">
        <f t="shared" si="44"/>
        <v>#DIV/0!</v>
      </c>
      <c r="AI110" s="257"/>
    </row>
    <row r="111" spans="1:35" ht="15" customHeight="1" hidden="1">
      <c r="A111" s="198"/>
      <c r="B111" s="158"/>
      <c r="C111" s="176"/>
      <c r="D111" s="158"/>
      <c r="E111" s="158"/>
      <c r="F111" s="158"/>
      <c r="G111" s="158"/>
      <c r="H111" s="162">
        <f t="shared" si="33"/>
        <v>0</v>
      </c>
      <c r="I111" s="158"/>
      <c r="J111" s="158"/>
      <c r="K111" s="162">
        <f t="shared" si="40"/>
        <v>0</v>
      </c>
      <c r="L111" s="162">
        <f t="shared" si="34"/>
        <v>0</v>
      </c>
      <c r="M111" s="162">
        <f t="shared" si="35"/>
        <v>0</v>
      </c>
      <c r="N111" s="162">
        <f t="shared" si="36"/>
        <v>0</v>
      </c>
      <c r="O111" s="158"/>
      <c r="P111" s="158"/>
      <c r="Q111" s="162">
        <f t="shared" si="48"/>
        <v>0</v>
      </c>
      <c r="R111" s="162">
        <f t="shared" si="49"/>
        <v>0</v>
      </c>
      <c r="S111" s="162">
        <f t="shared" si="53"/>
        <v>0</v>
      </c>
      <c r="T111" s="158"/>
      <c r="U111" s="201"/>
      <c r="V111" s="162">
        <f>Q111+T111</f>
        <v>0</v>
      </c>
      <c r="W111" s="162">
        <f t="shared" si="38"/>
        <v>0</v>
      </c>
      <c r="X111" s="162">
        <f t="shared" si="39"/>
        <v>0</v>
      </c>
      <c r="Y111" s="158"/>
      <c r="Z111" s="158"/>
      <c r="AA111" s="158"/>
      <c r="AB111" s="162">
        <f t="shared" si="41"/>
        <v>0</v>
      </c>
      <c r="AC111" s="162">
        <f t="shared" si="42"/>
        <v>0</v>
      </c>
      <c r="AD111" s="162">
        <f t="shared" si="43"/>
        <v>0</v>
      </c>
      <c r="AE111" s="158"/>
      <c r="AF111" s="158"/>
      <c r="AG111" s="158">
        <v>0</v>
      </c>
      <c r="AH111" s="167" t="e">
        <f t="shared" si="44"/>
        <v>#DIV/0!</v>
      </c>
      <c r="AI111" s="257"/>
    </row>
    <row r="112" spans="1:35" ht="15" customHeight="1" hidden="1">
      <c r="A112" s="198"/>
      <c r="B112" s="158"/>
      <c r="C112" s="176"/>
      <c r="D112" s="158"/>
      <c r="E112" s="158"/>
      <c r="F112" s="158"/>
      <c r="G112" s="158">
        <v>16.517</v>
      </c>
      <c r="H112" s="162">
        <f t="shared" si="33"/>
        <v>16.517</v>
      </c>
      <c r="I112" s="158"/>
      <c r="J112" s="158"/>
      <c r="K112" s="162">
        <f t="shared" si="40"/>
        <v>0</v>
      </c>
      <c r="L112" s="162">
        <f t="shared" si="34"/>
        <v>0</v>
      </c>
      <c r="M112" s="162">
        <f t="shared" si="35"/>
        <v>16.517</v>
      </c>
      <c r="N112" s="162">
        <f t="shared" si="36"/>
        <v>16.517</v>
      </c>
      <c r="O112" s="158"/>
      <c r="P112" s="158"/>
      <c r="Q112" s="162">
        <f t="shared" si="48"/>
        <v>0</v>
      </c>
      <c r="R112" s="162">
        <f t="shared" si="49"/>
        <v>16.517</v>
      </c>
      <c r="S112" s="162">
        <f t="shared" si="53"/>
        <v>16.517</v>
      </c>
      <c r="T112" s="158"/>
      <c r="U112" s="201">
        <v>33.036</v>
      </c>
      <c r="V112" s="162">
        <f>Q112+T112</f>
        <v>0</v>
      </c>
      <c r="W112" s="162">
        <f t="shared" si="38"/>
        <v>49.553</v>
      </c>
      <c r="X112" s="162">
        <f t="shared" si="39"/>
        <v>49.553</v>
      </c>
      <c r="Y112" s="158"/>
      <c r="Z112" s="158">
        <v>7.894</v>
      </c>
      <c r="AA112" s="158"/>
      <c r="AB112" s="162">
        <f t="shared" si="41"/>
        <v>0</v>
      </c>
      <c r="AC112" s="162">
        <f t="shared" si="42"/>
        <v>57.446999999999996</v>
      </c>
      <c r="AD112" s="162">
        <f t="shared" si="43"/>
        <v>57.446999999999996</v>
      </c>
      <c r="AE112" s="158"/>
      <c r="AF112" s="158"/>
      <c r="AG112" s="158">
        <v>57.446999999999996</v>
      </c>
      <c r="AH112" s="167" t="e">
        <f t="shared" si="44"/>
        <v>#DIV/0!</v>
      </c>
      <c r="AI112" s="257"/>
    </row>
    <row r="113" spans="1:35" ht="15.75">
      <c r="A113" s="213" t="s">
        <v>444</v>
      </c>
      <c r="B113" s="158" t="s">
        <v>368</v>
      </c>
      <c r="C113" s="176" t="s">
        <v>249</v>
      </c>
      <c r="D113" s="162">
        <v>1138.303</v>
      </c>
      <c r="E113" s="158">
        <v>1217.889</v>
      </c>
      <c r="F113" s="162"/>
      <c r="G113" s="162">
        <v>38.571</v>
      </c>
      <c r="H113" s="162">
        <f t="shared" si="33"/>
        <v>38.571</v>
      </c>
      <c r="I113" s="162">
        <v>64</v>
      </c>
      <c r="J113" s="162">
        <v>10.029</v>
      </c>
      <c r="K113" s="162">
        <f t="shared" si="40"/>
        <v>-53.971000000000004</v>
      </c>
      <c r="L113" s="162">
        <f t="shared" si="34"/>
        <v>64</v>
      </c>
      <c r="M113" s="162">
        <f t="shared" si="35"/>
        <v>48.599999999999994</v>
      </c>
      <c r="N113" s="162">
        <f t="shared" si="36"/>
        <v>-15.400000000000006</v>
      </c>
      <c r="O113" s="162"/>
      <c r="P113" s="162">
        <v>51.685</v>
      </c>
      <c r="Q113" s="162">
        <f t="shared" si="48"/>
        <v>64</v>
      </c>
      <c r="R113" s="162">
        <f t="shared" si="49"/>
        <v>100.285</v>
      </c>
      <c r="S113" s="162">
        <f t="shared" si="53"/>
        <v>36.285</v>
      </c>
      <c r="T113" s="162">
        <v>280</v>
      </c>
      <c r="U113" s="205">
        <v>120</v>
      </c>
      <c r="V113" s="162">
        <v>220.29</v>
      </c>
      <c r="W113" s="162">
        <f t="shared" si="38"/>
        <v>220.285</v>
      </c>
      <c r="X113" s="162">
        <f t="shared" si="39"/>
        <v>-0.0049999999999954525</v>
      </c>
      <c r="Y113" s="162"/>
      <c r="Z113" s="162">
        <v>267.585</v>
      </c>
      <c r="AA113" s="162"/>
      <c r="AB113" s="162">
        <f t="shared" si="41"/>
        <v>220.29</v>
      </c>
      <c r="AC113" s="162">
        <f t="shared" si="42"/>
        <v>487.87</v>
      </c>
      <c r="AD113" s="162">
        <f t="shared" si="43"/>
        <v>267.58000000000004</v>
      </c>
      <c r="AE113" s="162">
        <v>280</v>
      </c>
      <c r="AF113" s="158">
        <v>1217.889</v>
      </c>
      <c r="AG113" s="158">
        <v>767.87</v>
      </c>
      <c r="AH113" s="167">
        <f t="shared" si="44"/>
        <v>63.049259825813365</v>
      </c>
      <c r="AI113" s="257"/>
    </row>
    <row r="114" spans="1:35" ht="15.75">
      <c r="A114" s="213" t="s">
        <v>445</v>
      </c>
      <c r="B114" s="158" t="s">
        <v>369</v>
      </c>
      <c r="C114" s="176" t="s">
        <v>249</v>
      </c>
      <c r="D114" s="162">
        <v>859.52</v>
      </c>
      <c r="E114" s="158">
        <v>911.0912000000001</v>
      </c>
      <c r="F114" s="162">
        <v>75.924</v>
      </c>
      <c r="G114" s="162">
        <v>125.836</v>
      </c>
      <c r="H114" s="162">
        <f t="shared" si="33"/>
        <v>49.91199999999999</v>
      </c>
      <c r="I114" s="162">
        <v>75.924</v>
      </c>
      <c r="J114" s="162"/>
      <c r="K114" s="162">
        <f t="shared" si="40"/>
        <v>-75.924</v>
      </c>
      <c r="L114" s="162">
        <f t="shared" si="34"/>
        <v>151.848</v>
      </c>
      <c r="M114" s="162">
        <f t="shared" si="35"/>
        <v>125.836</v>
      </c>
      <c r="N114" s="162">
        <f t="shared" si="36"/>
        <v>-26.012000000000015</v>
      </c>
      <c r="O114" s="162">
        <v>75.924</v>
      </c>
      <c r="P114" s="162"/>
      <c r="Q114" s="162">
        <f t="shared" si="48"/>
        <v>227.77200000000002</v>
      </c>
      <c r="R114" s="162">
        <f t="shared" si="49"/>
        <v>125.836</v>
      </c>
      <c r="S114" s="162">
        <f t="shared" si="53"/>
        <v>-101.93600000000002</v>
      </c>
      <c r="T114" s="162">
        <v>75.924</v>
      </c>
      <c r="U114" s="205">
        <v>179.876</v>
      </c>
      <c r="V114" s="162">
        <v>305.72</v>
      </c>
      <c r="W114" s="162">
        <f t="shared" si="38"/>
        <v>305.712</v>
      </c>
      <c r="X114" s="162">
        <f t="shared" si="39"/>
        <v>-0.008000000000038199</v>
      </c>
      <c r="Y114" s="162">
        <v>44.44</v>
      </c>
      <c r="Z114" s="162"/>
      <c r="AA114" s="162"/>
      <c r="AB114" s="162">
        <f t="shared" si="41"/>
        <v>350.16</v>
      </c>
      <c r="AC114" s="162">
        <f t="shared" si="42"/>
        <v>305.712</v>
      </c>
      <c r="AD114" s="162">
        <f t="shared" si="43"/>
        <v>-44.448000000000036</v>
      </c>
      <c r="AE114" s="162">
        <v>44.44</v>
      </c>
      <c r="AF114" s="158">
        <v>911.0912000000001</v>
      </c>
      <c r="AG114" s="158">
        <v>350.152</v>
      </c>
      <c r="AH114" s="167">
        <f t="shared" si="44"/>
        <v>38.43215695640568</v>
      </c>
      <c r="AI114" s="257"/>
    </row>
    <row r="115" spans="1:35" ht="15.75">
      <c r="A115" s="213" t="s">
        <v>446</v>
      </c>
      <c r="B115" s="158" t="s">
        <v>370</v>
      </c>
      <c r="C115" s="176" t="s">
        <v>249</v>
      </c>
      <c r="D115" s="162">
        <v>324.39</v>
      </c>
      <c r="E115" s="158">
        <v>343.8534</v>
      </c>
      <c r="F115" s="162">
        <v>29.54</v>
      </c>
      <c r="G115" s="162">
        <v>6.163</v>
      </c>
      <c r="H115" s="162">
        <f t="shared" si="33"/>
        <v>-23.377</v>
      </c>
      <c r="I115" s="162">
        <v>29.54</v>
      </c>
      <c r="J115" s="162">
        <v>6.163</v>
      </c>
      <c r="K115" s="162">
        <f t="shared" si="40"/>
        <v>-23.377</v>
      </c>
      <c r="L115" s="162">
        <f t="shared" si="34"/>
        <v>59.08</v>
      </c>
      <c r="M115" s="162">
        <f t="shared" si="35"/>
        <v>12.326</v>
      </c>
      <c r="N115" s="162">
        <f t="shared" si="36"/>
        <v>-46.754</v>
      </c>
      <c r="O115" s="162">
        <v>29.54</v>
      </c>
      <c r="P115" s="162">
        <f>6.163</f>
        <v>6.163</v>
      </c>
      <c r="Q115" s="162">
        <f t="shared" si="48"/>
        <v>88.62</v>
      </c>
      <c r="R115" s="162">
        <f t="shared" si="49"/>
        <v>18.489</v>
      </c>
      <c r="S115" s="162">
        <f t="shared" si="53"/>
        <v>-70.131</v>
      </c>
      <c r="T115" s="162">
        <v>29.54</v>
      </c>
      <c r="U115" s="205">
        <v>6.163</v>
      </c>
      <c r="V115" s="162">
        <v>24.64</v>
      </c>
      <c r="W115" s="162">
        <f t="shared" si="38"/>
        <v>24.652</v>
      </c>
      <c r="X115" s="162">
        <f t="shared" si="39"/>
        <v>0.012000000000000455</v>
      </c>
      <c r="Y115" s="162">
        <v>6.16</v>
      </c>
      <c r="Z115" s="162">
        <v>6.163</v>
      </c>
      <c r="AA115" s="162"/>
      <c r="AB115" s="162">
        <f t="shared" si="41"/>
        <v>30.8</v>
      </c>
      <c r="AC115" s="162">
        <f t="shared" si="42"/>
        <v>30.815</v>
      </c>
      <c r="AD115" s="162">
        <f t="shared" si="43"/>
        <v>0.015000000000000568</v>
      </c>
      <c r="AE115" s="162">
        <v>6.16</v>
      </c>
      <c r="AF115" s="158">
        <v>343.8534</v>
      </c>
      <c r="AG115" s="158">
        <v>36.975</v>
      </c>
      <c r="AH115" s="167">
        <f t="shared" si="44"/>
        <v>10.75312909513182</v>
      </c>
      <c r="AI115" s="257"/>
    </row>
    <row r="116" spans="1:35" s="154" customFormat="1" ht="15.75">
      <c r="A116" s="171" t="s">
        <v>348</v>
      </c>
      <c r="B116" s="169" t="s">
        <v>155</v>
      </c>
      <c r="C116" s="176" t="s">
        <v>249</v>
      </c>
      <c r="D116" s="169">
        <v>64589.63634999999</v>
      </c>
      <c r="E116" s="169">
        <v>24842.167910000004</v>
      </c>
      <c r="F116" s="169">
        <f>'[2]БЮДЖЕТ'!J112</f>
        <v>3569.91</v>
      </c>
      <c r="G116" s="169">
        <v>3542.308</v>
      </c>
      <c r="H116" s="161">
        <f t="shared" si="33"/>
        <v>-27.60199999999986</v>
      </c>
      <c r="I116" s="169">
        <f>'[2]Вознаграждение'!E25</f>
        <v>3312.28905</v>
      </c>
      <c r="J116" s="169">
        <v>3284.686</v>
      </c>
      <c r="K116" s="162">
        <f t="shared" si="40"/>
        <v>-27.603049999999712</v>
      </c>
      <c r="L116" s="162">
        <f t="shared" si="34"/>
        <v>6882.199049999999</v>
      </c>
      <c r="M116" s="162">
        <f t="shared" si="35"/>
        <v>6826.994000000001</v>
      </c>
      <c r="N116" s="162">
        <f t="shared" si="36"/>
        <v>-55.205049999998664</v>
      </c>
      <c r="O116" s="169">
        <f>'[2]Вознаграждение'!F25</f>
        <v>3036.26497</v>
      </c>
      <c r="P116" s="169">
        <v>3004.881</v>
      </c>
      <c r="Q116" s="162">
        <f t="shared" si="48"/>
        <v>9918.46402</v>
      </c>
      <c r="R116" s="162">
        <f t="shared" si="49"/>
        <v>9831.875</v>
      </c>
      <c r="S116" s="162">
        <f t="shared" si="53"/>
        <v>-86.58901999999944</v>
      </c>
      <c r="T116" s="169">
        <f>'[2]Вознаграждение'!G25</f>
        <v>2760.24088</v>
      </c>
      <c r="U116" s="202">
        <v>2733.016</v>
      </c>
      <c r="V116" s="161">
        <v>12592.12</v>
      </c>
      <c r="W116" s="161">
        <f t="shared" si="38"/>
        <v>12564.891</v>
      </c>
      <c r="X116" s="161">
        <f t="shared" si="39"/>
        <v>-27.22900000000118</v>
      </c>
      <c r="Y116" s="169">
        <f>'[2]Вознаграждение'!H25</f>
        <v>2484.21679</v>
      </c>
      <c r="Z116" s="169"/>
      <c r="AA116" s="169"/>
      <c r="AB116" s="161">
        <f t="shared" si="41"/>
        <v>15076.336790000001</v>
      </c>
      <c r="AC116" s="161">
        <f t="shared" si="42"/>
        <v>12564.891</v>
      </c>
      <c r="AD116" s="161">
        <f t="shared" si="43"/>
        <v>-2511.4457900000016</v>
      </c>
      <c r="AE116" s="169">
        <f>'[2]Вознаграждение'!I25</f>
        <v>2208.1927</v>
      </c>
      <c r="AF116" s="169">
        <v>24842.167910000004</v>
      </c>
      <c r="AG116" s="169">
        <v>14773.0837</v>
      </c>
      <c r="AH116" s="167">
        <f t="shared" si="44"/>
        <v>59.46777170785171</v>
      </c>
      <c r="AI116" s="258"/>
    </row>
    <row r="117" spans="1:35" s="166" customFormat="1" ht="66.75" customHeight="1">
      <c r="A117" s="165" t="s">
        <v>4</v>
      </c>
      <c r="B117" s="159" t="s">
        <v>156</v>
      </c>
      <c r="C117" s="160" t="s">
        <v>249</v>
      </c>
      <c r="D117" s="173" t="e">
        <f aca="true" t="shared" si="54" ref="D117:AF117">D8+D87</f>
        <v>#REF!</v>
      </c>
      <c r="E117" s="173" t="e">
        <f t="shared" si="54"/>
        <v>#REF!</v>
      </c>
      <c r="F117" s="173" t="e">
        <f t="shared" si="54"/>
        <v>#REF!</v>
      </c>
      <c r="G117" s="173" t="e">
        <f t="shared" si="54"/>
        <v>#REF!</v>
      </c>
      <c r="H117" s="173" t="e">
        <f t="shared" si="54"/>
        <v>#REF!</v>
      </c>
      <c r="I117" s="173" t="e">
        <f t="shared" si="54"/>
        <v>#REF!</v>
      </c>
      <c r="J117" s="173" t="e">
        <f t="shared" si="54"/>
        <v>#REF!</v>
      </c>
      <c r="K117" s="173" t="e">
        <f t="shared" si="54"/>
        <v>#REF!</v>
      </c>
      <c r="L117" s="173" t="e">
        <f t="shared" si="54"/>
        <v>#REF!</v>
      </c>
      <c r="M117" s="173" t="e">
        <f t="shared" si="54"/>
        <v>#REF!</v>
      </c>
      <c r="N117" s="173" t="e">
        <f t="shared" si="54"/>
        <v>#REF!</v>
      </c>
      <c r="O117" s="173" t="e">
        <f t="shared" si="54"/>
        <v>#REF!</v>
      </c>
      <c r="P117" s="173" t="e">
        <f t="shared" si="54"/>
        <v>#REF!</v>
      </c>
      <c r="Q117" s="173" t="e">
        <f t="shared" si="54"/>
        <v>#REF!</v>
      </c>
      <c r="R117" s="173" t="e">
        <f t="shared" si="54"/>
        <v>#REF!</v>
      </c>
      <c r="S117" s="173" t="e">
        <f t="shared" si="54"/>
        <v>#REF!</v>
      </c>
      <c r="T117" s="173" t="e">
        <f t="shared" si="54"/>
        <v>#REF!</v>
      </c>
      <c r="U117" s="206" t="e">
        <f t="shared" si="54"/>
        <v>#REF!</v>
      </c>
      <c r="V117" s="173" t="e">
        <f t="shared" si="54"/>
        <v>#REF!</v>
      </c>
      <c r="W117" s="173" t="e">
        <f t="shared" si="54"/>
        <v>#REF!</v>
      </c>
      <c r="X117" s="173" t="e">
        <f t="shared" si="54"/>
        <v>#REF!</v>
      </c>
      <c r="Y117" s="173" t="e">
        <f t="shared" si="54"/>
        <v>#REF!</v>
      </c>
      <c r="Z117" s="173" t="e">
        <f t="shared" si="54"/>
        <v>#REF!</v>
      </c>
      <c r="AA117" s="173" t="e">
        <f t="shared" si="54"/>
        <v>#REF!</v>
      </c>
      <c r="AB117" s="173" t="e">
        <f t="shared" si="54"/>
        <v>#REF!</v>
      </c>
      <c r="AC117" s="173" t="e">
        <f t="shared" si="54"/>
        <v>#REF!</v>
      </c>
      <c r="AD117" s="173" t="e">
        <f t="shared" si="54"/>
        <v>#REF!</v>
      </c>
      <c r="AE117" s="173" t="e">
        <f t="shared" si="54"/>
        <v>#REF!</v>
      </c>
      <c r="AF117" s="173">
        <f t="shared" si="54"/>
        <v>2702817.3470902396</v>
      </c>
      <c r="AG117" s="173">
        <v>2711208.901332173</v>
      </c>
      <c r="AH117" s="167">
        <f t="shared" si="44"/>
        <v>100.31047433711966</v>
      </c>
      <c r="AI117" s="259" t="s">
        <v>427</v>
      </c>
    </row>
    <row r="118" spans="1:35" s="166" customFormat="1" ht="15.75">
      <c r="A118" s="165" t="s">
        <v>202</v>
      </c>
      <c r="B118" s="159" t="s">
        <v>447</v>
      </c>
      <c r="C118" s="160" t="s">
        <v>249</v>
      </c>
      <c r="D118" s="173"/>
      <c r="E118" s="173"/>
      <c r="F118" s="173"/>
      <c r="G118" s="173"/>
      <c r="H118" s="162"/>
      <c r="I118" s="173"/>
      <c r="J118" s="173"/>
      <c r="K118" s="162"/>
      <c r="L118" s="162"/>
      <c r="M118" s="162"/>
      <c r="N118" s="162"/>
      <c r="O118" s="173"/>
      <c r="P118" s="173"/>
      <c r="Q118" s="162"/>
      <c r="R118" s="162"/>
      <c r="S118" s="162"/>
      <c r="T118" s="173"/>
      <c r="U118" s="206"/>
      <c r="V118" s="162"/>
      <c r="W118" s="162"/>
      <c r="X118" s="162"/>
      <c r="Y118" s="173"/>
      <c r="Z118" s="173"/>
      <c r="AA118" s="173"/>
      <c r="AB118" s="162"/>
      <c r="AC118" s="162"/>
      <c r="AD118" s="162"/>
      <c r="AE118" s="173"/>
      <c r="AF118" s="173">
        <f>AF119-AF117</f>
        <v>199641.96290976042</v>
      </c>
      <c r="AG118" s="173">
        <f>AG119-AG117</f>
        <v>-1281292.3939161731</v>
      </c>
      <c r="AH118" s="167"/>
      <c r="AI118" s="260"/>
    </row>
    <row r="119" spans="1:35" s="166" customFormat="1" ht="15.75">
      <c r="A119" s="165" t="s">
        <v>203</v>
      </c>
      <c r="B119" s="159" t="s">
        <v>448</v>
      </c>
      <c r="C119" s="160" t="s">
        <v>249</v>
      </c>
      <c r="D119" s="161" t="e">
        <f>D117+#REF!</f>
        <v>#REF!</v>
      </c>
      <c r="E119" s="161">
        <v>2902459.31</v>
      </c>
      <c r="F119" s="161">
        <f>F120*F123</f>
        <v>271666.272738</v>
      </c>
      <c r="G119" s="161">
        <f>G120*G123</f>
        <v>267075.395632</v>
      </c>
      <c r="H119" s="162">
        <f>G119-F119</f>
        <v>-4590.877106000029</v>
      </c>
      <c r="I119" s="161">
        <f>I120*I123</f>
        <v>243677.47497</v>
      </c>
      <c r="J119" s="161">
        <f>J120*J123</f>
        <v>244133.056236</v>
      </c>
      <c r="K119" s="162">
        <f>J119-I119</f>
        <v>455.5812659999938</v>
      </c>
      <c r="L119" s="162">
        <f>F119+I119</f>
        <v>515343.747708</v>
      </c>
      <c r="M119" s="162">
        <f>G119+J119</f>
        <v>511208.451868</v>
      </c>
      <c r="N119" s="162">
        <f>M119-L119</f>
        <v>-4135.295840000035</v>
      </c>
      <c r="O119" s="161">
        <f>O120*O123</f>
        <v>247092.933322</v>
      </c>
      <c r="P119" s="161">
        <f>P120*P123</f>
        <v>247608.56046799998</v>
      </c>
      <c r="Q119" s="162">
        <f>L119+O119</f>
        <v>762436.68103</v>
      </c>
      <c r="R119" s="162">
        <f>M119+P119</f>
        <v>758817.012336</v>
      </c>
      <c r="S119" s="162">
        <f>R119-Q119</f>
        <v>-3619.6686939999927</v>
      </c>
      <c r="T119" s="161">
        <f>T120*T123</f>
        <v>212739.104876</v>
      </c>
      <c r="U119" s="204" t="e">
        <f>U120*U123</f>
        <v>#REF!</v>
      </c>
      <c r="V119" s="161" t="e">
        <f>V120*V123</f>
        <v>#REF!</v>
      </c>
      <c r="W119" s="161" t="e">
        <f>R119+U119</f>
        <v>#REF!</v>
      </c>
      <c r="X119" s="161" t="e">
        <f>W119-V119</f>
        <v>#REF!</v>
      </c>
      <c r="Y119" s="161">
        <f>Y120*Y123</f>
        <v>227852.87462000002</v>
      </c>
      <c r="Z119" s="161">
        <f>Z120*Z123</f>
        <v>232515.815478</v>
      </c>
      <c r="AA119" s="161">
        <f>AA120*AA123</f>
        <v>0</v>
      </c>
      <c r="AB119" s="161" t="e">
        <f>V119+Y119</f>
        <v>#REF!</v>
      </c>
      <c r="AC119" s="161" t="e">
        <f>W119+Z119</f>
        <v>#REF!</v>
      </c>
      <c r="AD119" s="161" t="e">
        <f>AC119-AB119</f>
        <v>#REF!</v>
      </c>
      <c r="AE119" s="161">
        <f>AE120*AE123</f>
        <v>221048.23288</v>
      </c>
      <c r="AF119" s="161">
        <v>2902459.31</v>
      </c>
      <c r="AG119" s="161">
        <v>1429916.507416</v>
      </c>
      <c r="AH119" s="167">
        <f t="shared" si="44"/>
        <v>49.26568660202854</v>
      </c>
      <c r="AI119" s="164"/>
    </row>
    <row r="120" spans="1:35" s="166" customFormat="1" ht="15.75">
      <c r="A120" s="165" t="s">
        <v>157</v>
      </c>
      <c r="B120" s="159" t="s">
        <v>80</v>
      </c>
      <c r="C120" s="196" t="s">
        <v>395</v>
      </c>
      <c r="D120" s="161">
        <v>1323660.892</v>
      </c>
      <c r="E120" s="164">
        <v>1335002.892</v>
      </c>
      <c r="F120" s="161">
        <f>'[2]Объемы услуг'!E19</f>
        <v>124961.48700000001</v>
      </c>
      <c r="G120" s="161">
        <v>122849.768</v>
      </c>
      <c r="H120" s="161">
        <f>G120-F120</f>
        <v>-2111.719000000012</v>
      </c>
      <c r="I120" s="161">
        <f>'[2]Объемы услуг'!F19</f>
        <v>112087.15500000001</v>
      </c>
      <c r="J120" s="161">
        <v>112296.714</v>
      </c>
      <c r="K120" s="161">
        <f>J120-I120</f>
        <v>209.55899999999383</v>
      </c>
      <c r="L120" s="161">
        <f>F120+I120</f>
        <v>237048.64200000002</v>
      </c>
      <c r="M120" s="161">
        <f>G120+J120</f>
        <v>235146.48200000002</v>
      </c>
      <c r="N120" s="161">
        <f>M120-L120</f>
        <v>-1902.1600000000035</v>
      </c>
      <c r="O120" s="161">
        <f>'[2]Объемы услуг'!G19</f>
        <v>113658.20300000001</v>
      </c>
      <c r="P120" s="161">
        <v>113895.382</v>
      </c>
      <c r="Q120" s="161">
        <f>L120+O120</f>
        <v>350706.84500000003</v>
      </c>
      <c r="R120" s="161">
        <f>M120+P120</f>
        <v>349041.864</v>
      </c>
      <c r="S120" s="161">
        <f>R120-Q120</f>
        <v>-1664.9810000000289</v>
      </c>
      <c r="T120" s="161">
        <f>'[2]Объемы услуг'!H19</f>
        <v>97856.07400000001</v>
      </c>
      <c r="U120" s="204" t="e">
        <f>#REF!</f>
        <v>#REF!</v>
      </c>
      <c r="V120" s="161" t="e">
        <f>W120</f>
        <v>#REF!</v>
      </c>
      <c r="W120" s="161" t="e">
        <f>R120+U120</f>
        <v>#REF!</v>
      </c>
      <c r="X120" s="161" t="e">
        <f>W120-V120</f>
        <v>#REF!</v>
      </c>
      <c r="Y120" s="161">
        <v>104808.13</v>
      </c>
      <c r="Z120" s="161">
        <v>106952.997</v>
      </c>
      <c r="AA120" s="161"/>
      <c r="AB120" s="161" t="e">
        <f>V120+Y120</f>
        <v>#REF!</v>
      </c>
      <c r="AC120" s="161" t="e">
        <f>W120+Z120</f>
        <v>#REF!</v>
      </c>
      <c r="AD120" s="161" t="e">
        <f>AC120-AB120</f>
        <v>#REF!</v>
      </c>
      <c r="AE120" s="161">
        <v>101678.12</v>
      </c>
      <c r="AF120" s="164">
        <v>1335002.892</v>
      </c>
      <c r="AG120" s="164">
        <v>657735.284</v>
      </c>
      <c r="AH120" s="164">
        <f t="shared" si="44"/>
        <v>49.268453869386825</v>
      </c>
      <c r="AI120" s="164"/>
    </row>
    <row r="121" spans="1:35" s="166" customFormat="1" ht="15.75">
      <c r="A121" s="165" t="s">
        <v>158</v>
      </c>
      <c r="B121" s="159" t="s">
        <v>449</v>
      </c>
      <c r="C121" s="196" t="s">
        <v>243</v>
      </c>
      <c r="D121" s="161"/>
      <c r="E121" s="164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204"/>
      <c r="V121" s="161"/>
      <c r="W121" s="161"/>
      <c r="X121" s="161"/>
      <c r="Y121" s="161"/>
      <c r="Z121" s="161"/>
      <c r="AA121" s="161"/>
      <c r="AB121" s="163"/>
      <c r="AC121" s="161"/>
      <c r="AD121" s="161"/>
      <c r="AE121" s="222"/>
      <c r="AF121" s="164"/>
      <c r="AG121" s="164"/>
      <c r="AH121" s="164"/>
      <c r="AI121" s="164"/>
    </row>
    <row r="122" spans="1:35" s="166" customFormat="1" ht="15.75">
      <c r="A122" s="165"/>
      <c r="B122" s="159" t="s">
        <v>450</v>
      </c>
      <c r="C122" s="196" t="s">
        <v>397</v>
      </c>
      <c r="D122" s="161"/>
      <c r="E122" s="164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204"/>
      <c r="V122" s="161"/>
      <c r="W122" s="161"/>
      <c r="X122" s="161"/>
      <c r="Y122" s="161"/>
      <c r="Z122" s="161"/>
      <c r="AA122" s="161"/>
      <c r="AB122" s="163"/>
      <c r="AC122" s="161"/>
      <c r="AD122" s="161"/>
      <c r="AE122" s="222"/>
      <c r="AF122" s="225">
        <f>AF117/AF120</f>
        <v>2.024577896637425</v>
      </c>
      <c r="AG122" s="225">
        <f>AG117/AG120</f>
        <v>4.122036581106045</v>
      </c>
      <c r="AH122" s="164"/>
      <c r="AI122" s="164"/>
    </row>
    <row r="123" spans="1:35" s="231" customFormat="1" ht="18.75">
      <c r="A123" s="223"/>
      <c r="B123" s="159" t="s">
        <v>396</v>
      </c>
      <c r="C123" s="196" t="s">
        <v>397</v>
      </c>
      <c r="D123" s="224" t="e">
        <f>D119/D120</f>
        <v>#REF!</v>
      </c>
      <c r="E123" s="225">
        <v>2.174</v>
      </c>
      <c r="F123" s="225">
        <v>2.174</v>
      </c>
      <c r="G123" s="225">
        <v>2.174</v>
      </c>
      <c r="H123" s="161">
        <f>G123-F123</f>
        <v>0</v>
      </c>
      <c r="I123" s="225">
        <v>2.174</v>
      </c>
      <c r="J123" s="225">
        <v>2.174</v>
      </c>
      <c r="K123" s="161">
        <f>J123-I123</f>
        <v>0</v>
      </c>
      <c r="L123" s="226">
        <v>2.174</v>
      </c>
      <c r="M123" s="226">
        <v>2.174</v>
      </c>
      <c r="N123" s="161">
        <f>M123-L123</f>
        <v>0</v>
      </c>
      <c r="O123" s="225">
        <v>2.174</v>
      </c>
      <c r="P123" s="225">
        <v>2.174</v>
      </c>
      <c r="Q123" s="161">
        <v>2.174</v>
      </c>
      <c r="R123" s="161">
        <v>2.174</v>
      </c>
      <c r="S123" s="161">
        <f>R123-Q123</f>
        <v>0</v>
      </c>
      <c r="T123" s="225">
        <v>2.174</v>
      </c>
      <c r="U123" s="227">
        <v>2.174</v>
      </c>
      <c r="V123" s="225">
        <v>2.174</v>
      </c>
      <c r="W123" s="225">
        <v>2.174</v>
      </c>
      <c r="X123" s="161">
        <f>W123-V123</f>
        <v>0</v>
      </c>
      <c r="Y123" s="225">
        <v>2.174</v>
      </c>
      <c r="Z123" s="225">
        <v>2.174</v>
      </c>
      <c r="AA123" s="225"/>
      <c r="AB123" s="228">
        <v>2.174</v>
      </c>
      <c r="AC123" s="225">
        <v>2.174</v>
      </c>
      <c r="AD123" s="161">
        <f>AC123-AB123</f>
        <v>0</v>
      </c>
      <c r="AE123" s="229">
        <v>2.174</v>
      </c>
      <c r="AF123" s="225">
        <v>2.174</v>
      </c>
      <c r="AG123" s="225">
        <v>2.174</v>
      </c>
      <c r="AH123" s="164">
        <f t="shared" si="44"/>
        <v>100</v>
      </c>
      <c r="AI123" s="230"/>
    </row>
    <row r="124" spans="8:34" ht="15.75" hidden="1">
      <c r="H124" s="162">
        <f aca="true" t="shared" si="55" ref="H124:H168">G124-F124</f>
        <v>0</v>
      </c>
      <c r="K124" s="162">
        <f aca="true" t="shared" si="56" ref="K124:K166">J124-I124</f>
        <v>0</v>
      </c>
      <c r="L124" s="162">
        <f aca="true" t="shared" si="57" ref="L124:L166">F124+I124</f>
        <v>0</v>
      </c>
      <c r="M124" s="162">
        <f aca="true" t="shared" si="58" ref="M124:M166">G124+J124</f>
        <v>0</v>
      </c>
      <c r="N124" s="162">
        <f aca="true" t="shared" si="59" ref="N124:N166">M124-L124</f>
        <v>0</v>
      </c>
      <c r="V124" s="162">
        <f aca="true" t="shared" si="60" ref="V124:V168">Q124+T124</f>
        <v>0</v>
      </c>
      <c r="W124" s="162">
        <f aca="true" t="shared" si="61" ref="W124:W168">R124+U124</f>
        <v>0</v>
      </c>
      <c r="X124" s="162">
        <f aca="true" t="shared" si="62" ref="X124:X168">W124-V124</f>
        <v>0</v>
      </c>
      <c r="AB124" s="162">
        <f aca="true" t="shared" si="63" ref="AB124:AB168">V124+Y124</f>
        <v>0</v>
      </c>
      <c r="AC124" s="162">
        <f aca="true" t="shared" si="64" ref="AC124:AC168">W124+Z124</f>
        <v>0</v>
      </c>
      <c r="AD124" s="162">
        <f aca="true" t="shared" si="65" ref="AD124:AD168">AC124-AB124</f>
        <v>0</v>
      </c>
      <c r="AF124" s="158"/>
      <c r="AG124" s="158"/>
      <c r="AH124" s="167" t="e">
        <f>#REF!-AF124</f>
        <v>#REF!</v>
      </c>
    </row>
    <row r="125" spans="8:34" ht="15.75" hidden="1">
      <c r="H125" s="162">
        <f t="shared" si="55"/>
        <v>0</v>
      </c>
      <c r="K125" s="162">
        <f t="shared" si="56"/>
        <v>0</v>
      </c>
      <c r="L125" s="162">
        <f t="shared" si="57"/>
        <v>0</v>
      </c>
      <c r="M125" s="162">
        <f t="shared" si="58"/>
        <v>0</v>
      </c>
      <c r="N125" s="162">
        <f t="shared" si="59"/>
        <v>0</v>
      </c>
      <c r="V125" s="162">
        <f t="shared" si="60"/>
        <v>0</v>
      </c>
      <c r="W125" s="162">
        <f t="shared" si="61"/>
        <v>0</v>
      </c>
      <c r="X125" s="162">
        <f t="shared" si="62"/>
        <v>0</v>
      </c>
      <c r="AB125" s="162">
        <f t="shared" si="63"/>
        <v>0</v>
      </c>
      <c r="AC125" s="162">
        <f t="shared" si="64"/>
        <v>0</v>
      </c>
      <c r="AD125" s="162">
        <f t="shared" si="65"/>
        <v>0</v>
      </c>
      <c r="AF125" s="158"/>
      <c r="AG125" s="158"/>
      <c r="AH125" s="167" t="e">
        <f>#REF!-AF125</f>
        <v>#REF!</v>
      </c>
    </row>
    <row r="126" spans="2:34" ht="31.5" hidden="1">
      <c r="B126" s="153" t="s">
        <v>159</v>
      </c>
      <c r="H126" s="162">
        <f t="shared" si="55"/>
        <v>0</v>
      </c>
      <c r="I126" s="152">
        <f>I129</f>
        <v>0</v>
      </c>
      <c r="K126" s="162">
        <f t="shared" si="56"/>
        <v>0</v>
      </c>
      <c r="L126" s="162">
        <f t="shared" si="57"/>
        <v>0</v>
      </c>
      <c r="M126" s="162">
        <f t="shared" si="58"/>
        <v>0</v>
      </c>
      <c r="N126" s="162">
        <f t="shared" si="59"/>
        <v>0</v>
      </c>
      <c r="O126" s="152">
        <f>O129</f>
        <v>8688.91</v>
      </c>
      <c r="T126" s="152">
        <f>T129-102520.99</f>
        <v>61025.83</v>
      </c>
      <c r="V126" s="162">
        <f t="shared" si="60"/>
        <v>61025.83</v>
      </c>
      <c r="W126" s="162">
        <f t="shared" si="61"/>
        <v>0</v>
      </c>
      <c r="X126" s="162">
        <f t="shared" si="62"/>
        <v>-61025.83</v>
      </c>
      <c r="Y126" s="152">
        <f>Y129</f>
        <v>0</v>
      </c>
      <c r="AB126" s="162">
        <f t="shared" si="63"/>
        <v>61025.83</v>
      </c>
      <c r="AC126" s="162">
        <f t="shared" si="64"/>
        <v>0</v>
      </c>
      <c r="AD126" s="162">
        <f t="shared" si="65"/>
        <v>-61025.83</v>
      </c>
      <c r="AE126" s="152">
        <f>AE129</f>
        <v>66571.41</v>
      </c>
      <c r="AF126" s="158"/>
      <c r="AG126" s="158"/>
      <c r="AH126" s="167" t="e">
        <f>#REF!-AF126</f>
        <v>#REF!</v>
      </c>
    </row>
    <row r="127" spans="6:34" ht="15.75" hidden="1">
      <c r="F127" s="152">
        <f>F21+F94</f>
        <v>38655.13</v>
      </c>
      <c r="H127" s="162">
        <f t="shared" si="55"/>
        <v>-38655.13</v>
      </c>
      <c r="I127" s="152">
        <f>I21+I94</f>
        <v>38655.13</v>
      </c>
      <c r="K127" s="162">
        <f t="shared" si="56"/>
        <v>-38655.13</v>
      </c>
      <c r="L127" s="162">
        <f t="shared" si="57"/>
        <v>77310.26</v>
      </c>
      <c r="M127" s="162">
        <f t="shared" si="58"/>
        <v>0</v>
      </c>
      <c r="N127" s="162">
        <f t="shared" si="59"/>
        <v>-77310.26</v>
      </c>
      <c r="O127" s="152">
        <f>O21+O94</f>
        <v>38655.13</v>
      </c>
      <c r="T127" s="152">
        <f>T21+T94</f>
        <v>38655.13</v>
      </c>
      <c r="V127" s="162">
        <f t="shared" si="60"/>
        <v>38655.13</v>
      </c>
      <c r="W127" s="162">
        <f t="shared" si="61"/>
        <v>0</v>
      </c>
      <c r="X127" s="162">
        <f t="shared" si="62"/>
        <v>-38655.13</v>
      </c>
      <c r="Y127" s="152">
        <f>Y21+Y94</f>
        <v>38655.13</v>
      </c>
      <c r="AB127" s="162">
        <f t="shared" si="63"/>
        <v>77310.26</v>
      </c>
      <c r="AC127" s="162">
        <f t="shared" si="64"/>
        <v>0</v>
      </c>
      <c r="AD127" s="162">
        <f t="shared" si="65"/>
        <v>-77310.26</v>
      </c>
      <c r="AE127" s="152">
        <f>AE21+AE94</f>
        <v>278303.84599999996</v>
      </c>
      <c r="AF127" s="158"/>
      <c r="AG127" s="158"/>
      <c r="AH127" s="167" t="e">
        <f>#REF!-AF127</f>
        <v>#REF!</v>
      </c>
    </row>
    <row r="128" spans="6:34" ht="15.75" hidden="1">
      <c r="F128" s="152">
        <f>F129+F130</f>
        <v>30111.714</v>
      </c>
      <c r="H128" s="162">
        <f t="shared" si="55"/>
        <v>-30111.714</v>
      </c>
      <c r="I128" s="152">
        <f>I129+I130</f>
        <v>30111.714</v>
      </c>
      <c r="K128" s="162">
        <f t="shared" si="56"/>
        <v>-30111.714</v>
      </c>
      <c r="L128" s="162">
        <f t="shared" si="57"/>
        <v>60223.428</v>
      </c>
      <c r="M128" s="162">
        <f t="shared" si="58"/>
        <v>0</v>
      </c>
      <c r="N128" s="162">
        <f t="shared" si="59"/>
        <v>-60223.428</v>
      </c>
      <c r="O128" s="152">
        <f>O129+O130</f>
        <v>38800.623999999996</v>
      </c>
      <c r="T128" s="152">
        <f>T129+T130</f>
        <v>193658.534</v>
      </c>
      <c r="V128" s="162">
        <f t="shared" si="60"/>
        <v>193658.534</v>
      </c>
      <c r="W128" s="162">
        <f t="shared" si="61"/>
        <v>0</v>
      </c>
      <c r="X128" s="162">
        <f t="shared" si="62"/>
        <v>-193658.534</v>
      </c>
      <c r="Y128" s="152">
        <f>Y129+Y130</f>
        <v>30111.714</v>
      </c>
      <c r="AB128" s="162">
        <f t="shared" si="63"/>
        <v>223770.24800000002</v>
      </c>
      <c r="AC128" s="162">
        <f t="shared" si="64"/>
        <v>0</v>
      </c>
      <c r="AD128" s="162">
        <f t="shared" si="65"/>
        <v>-223770.24800000002</v>
      </c>
      <c r="AE128" s="152">
        <f>AE129+AE130</f>
        <v>96683.12400000001</v>
      </c>
      <c r="AF128" s="158"/>
      <c r="AG128" s="158"/>
      <c r="AH128" s="167" t="e">
        <f>#REF!-AF128</f>
        <v>#REF!</v>
      </c>
    </row>
    <row r="129" spans="1:34" ht="15.75" hidden="1">
      <c r="A129" s="171"/>
      <c r="B129" s="192" t="s">
        <v>160</v>
      </c>
      <c r="C129" s="160" t="s">
        <v>249</v>
      </c>
      <c r="D129" s="162"/>
      <c r="E129" s="158"/>
      <c r="F129" s="162"/>
      <c r="G129" s="162"/>
      <c r="H129" s="162">
        <f t="shared" si="55"/>
        <v>0</v>
      </c>
      <c r="I129" s="161"/>
      <c r="J129" s="161"/>
      <c r="K129" s="162">
        <f t="shared" si="56"/>
        <v>0</v>
      </c>
      <c r="L129" s="162">
        <f t="shared" si="57"/>
        <v>0</v>
      </c>
      <c r="M129" s="162">
        <f t="shared" si="58"/>
        <v>0</v>
      </c>
      <c r="N129" s="162">
        <f t="shared" si="59"/>
        <v>0</v>
      </c>
      <c r="O129" s="161">
        <v>8688.91</v>
      </c>
      <c r="P129" s="161"/>
      <c r="Q129" s="161"/>
      <c r="R129" s="161"/>
      <c r="S129" s="161"/>
      <c r="T129" s="161">
        <v>163546.82</v>
      </c>
      <c r="U129" s="204"/>
      <c r="V129" s="162">
        <f t="shared" si="60"/>
        <v>163546.82</v>
      </c>
      <c r="W129" s="162">
        <f t="shared" si="61"/>
        <v>0</v>
      </c>
      <c r="X129" s="162">
        <f t="shared" si="62"/>
        <v>-163546.82</v>
      </c>
      <c r="Y129" s="161"/>
      <c r="Z129" s="161"/>
      <c r="AA129" s="161"/>
      <c r="AB129" s="162">
        <f t="shared" si="63"/>
        <v>163546.82</v>
      </c>
      <c r="AC129" s="162">
        <f t="shared" si="64"/>
        <v>0</v>
      </c>
      <c r="AD129" s="162">
        <f t="shared" si="65"/>
        <v>-163546.82</v>
      </c>
      <c r="AE129" s="161">
        <v>66571.41</v>
      </c>
      <c r="AF129" s="158"/>
      <c r="AG129" s="158"/>
      <c r="AH129" s="167" t="e">
        <f>#REF!-AF129</f>
        <v>#REF!</v>
      </c>
    </row>
    <row r="130" spans="1:34" ht="15.75" hidden="1">
      <c r="A130" s="171"/>
      <c r="B130" s="192"/>
      <c r="C130" s="160"/>
      <c r="D130" s="162"/>
      <c r="E130" s="158"/>
      <c r="F130" s="161">
        <v>30111.714</v>
      </c>
      <c r="G130" s="161"/>
      <c r="H130" s="162">
        <f t="shared" si="55"/>
        <v>-30111.714</v>
      </c>
      <c r="I130" s="161">
        <v>30111.714</v>
      </c>
      <c r="J130" s="161"/>
      <c r="K130" s="162">
        <f t="shared" si="56"/>
        <v>-30111.714</v>
      </c>
      <c r="L130" s="162">
        <f t="shared" si="57"/>
        <v>60223.428</v>
      </c>
      <c r="M130" s="162">
        <f t="shared" si="58"/>
        <v>0</v>
      </c>
      <c r="N130" s="162">
        <f t="shared" si="59"/>
        <v>-60223.428</v>
      </c>
      <c r="O130" s="161">
        <v>30111.714</v>
      </c>
      <c r="P130" s="161"/>
      <c r="Q130" s="161"/>
      <c r="R130" s="161"/>
      <c r="S130" s="161"/>
      <c r="T130" s="161">
        <v>30111.714</v>
      </c>
      <c r="U130" s="204"/>
      <c r="V130" s="162">
        <f t="shared" si="60"/>
        <v>30111.714</v>
      </c>
      <c r="W130" s="162">
        <f t="shared" si="61"/>
        <v>0</v>
      </c>
      <c r="X130" s="162">
        <f t="shared" si="62"/>
        <v>-30111.714</v>
      </c>
      <c r="Y130" s="161">
        <v>30111.714</v>
      </c>
      <c r="Z130" s="161"/>
      <c r="AA130" s="161"/>
      <c r="AB130" s="162">
        <f t="shared" si="63"/>
        <v>60223.428</v>
      </c>
      <c r="AC130" s="162">
        <f t="shared" si="64"/>
        <v>0</v>
      </c>
      <c r="AD130" s="162">
        <f t="shared" si="65"/>
        <v>-60223.428</v>
      </c>
      <c r="AE130" s="161">
        <v>30111.714</v>
      </c>
      <c r="AF130" s="158"/>
      <c r="AG130" s="158"/>
      <c r="AH130" s="167" t="e">
        <f>#REF!-AF130</f>
        <v>#REF!</v>
      </c>
    </row>
    <row r="131" spans="1:34" ht="15.75" hidden="1">
      <c r="A131" s="171"/>
      <c r="B131" s="192"/>
      <c r="C131" s="160"/>
      <c r="D131" s="162"/>
      <c r="E131" s="158"/>
      <c r="F131" s="161"/>
      <c r="G131" s="161"/>
      <c r="H131" s="162">
        <f t="shared" si="55"/>
        <v>0</v>
      </c>
      <c r="I131" s="161"/>
      <c r="J131" s="161"/>
      <c r="K131" s="162">
        <f t="shared" si="56"/>
        <v>0</v>
      </c>
      <c r="L131" s="162">
        <f t="shared" si="57"/>
        <v>0</v>
      </c>
      <c r="M131" s="162">
        <f t="shared" si="58"/>
        <v>0</v>
      </c>
      <c r="N131" s="162">
        <f t="shared" si="59"/>
        <v>0</v>
      </c>
      <c r="O131" s="161"/>
      <c r="P131" s="161"/>
      <c r="Q131" s="161"/>
      <c r="R131" s="161"/>
      <c r="S131" s="161"/>
      <c r="T131" s="161"/>
      <c r="U131" s="204"/>
      <c r="V131" s="162">
        <f t="shared" si="60"/>
        <v>0</v>
      </c>
      <c r="W131" s="162">
        <f t="shared" si="61"/>
        <v>0</v>
      </c>
      <c r="X131" s="162">
        <f t="shared" si="62"/>
        <v>0</v>
      </c>
      <c r="Y131" s="161"/>
      <c r="Z131" s="161"/>
      <c r="AA131" s="161"/>
      <c r="AB131" s="162">
        <f t="shared" si="63"/>
        <v>0</v>
      </c>
      <c r="AC131" s="162">
        <f t="shared" si="64"/>
        <v>0</v>
      </c>
      <c r="AD131" s="162">
        <f t="shared" si="65"/>
        <v>0</v>
      </c>
      <c r="AE131" s="161"/>
      <c r="AF131" s="158"/>
      <c r="AG131" s="158"/>
      <c r="AH131" s="167" t="e">
        <f>#REF!-AF131</f>
        <v>#REF!</v>
      </c>
    </row>
    <row r="132" spans="1:34" ht="18.75" hidden="1">
      <c r="A132" s="171"/>
      <c r="B132" s="193" t="s">
        <v>161</v>
      </c>
      <c r="C132" s="160"/>
      <c r="D132" s="162"/>
      <c r="E132" s="158"/>
      <c r="F132" s="161"/>
      <c r="G132" s="161"/>
      <c r="H132" s="162">
        <f t="shared" si="55"/>
        <v>0</v>
      </c>
      <c r="I132" s="161"/>
      <c r="J132" s="161"/>
      <c r="K132" s="162">
        <f t="shared" si="56"/>
        <v>0</v>
      </c>
      <c r="L132" s="162">
        <f t="shared" si="57"/>
        <v>0</v>
      </c>
      <c r="M132" s="162">
        <f t="shared" si="58"/>
        <v>0</v>
      </c>
      <c r="N132" s="162">
        <f t="shared" si="59"/>
        <v>0</v>
      </c>
      <c r="O132" s="161"/>
      <c r="P132" s="161"/>
      <c r="Q132" s="161"/>
      <c r="R132" s="161"/>
      <c r="S132" s="161"/>
      <c r="T132" s="161"/>
      <c r="U132" s="204"/>
      <c r="V132" s="162">
        <f t="shared" si="60"/>
        <v>0</v>
      </c>
      <c r="W132" s="162">
        <f t="shared" si="61"/>
        <v>0</v>
      </c>
      <c r="X132" s="162">
        <f t="shared" si="62"/>
        <v>0</v>
      </c>
      <c r="Y132" s="161"/>
      <c r="Z132" s="161"/>
      <c r="AA132" s="161"/>
      <c r="AB132" s="162">
        <f t="shared" si="63"/>
        <v>0</v>
      </c>
      <c r="AC132" s="162">
        <f t="shared" si="64"/>
        <v>0</v>
      </c>
      <c r="AD132" s="162">
        <f t="shared" si="65"/>
        <v>0</v>
      </c>
      <c r="AE132" s="161"/>
      <c r="AF132" s="158"/>
      <c r="AG132" s="158"/>
      <c r="AH132" s="167" t="e">
        <f>#REF!-AF132</f>
        <v>#REF!</v>
      </c>
    </row>
    <row r="133" spans="1:34" ht="15.75" hidden="1">
      <c r="A133" s="171" t="s">
        <v>399</v>
      </c>
      <c r="B133" s="192" t="s">
        <v>162</v>
      </c>
      <c r="C133" s="160" t="s">
        <v>249</v>
      </c>
      <c r="D133" s="162"/>
      <c r="E133" s="169">
        <f>E134</f>
        <v>657166.0661222658</v>
      </c>
      <c r="F133" s="169" t="e">
        <f>F134+F135+F153</f>
        <v>#REF!</v>
      </c>
      <c r="G133" s="169">
        <f aca="true" t="shared" si="66" ref="G133:AH133">G134+G135+G153</f>
        <v>30111.714</v>
      </c>
      <c r="H133" s="169" t="e">
        <f t="shared" si="66"/>
        <v>#REF!</v>
      </c>
      <c r="I133" s="169" t="e">
        <f t="shared" si="66"/>
        <v>#REF!</v>
      </c>
      <c r="J133" s="169">
        <f t="shared" si="66"/>
        <v>30111.714</v>
      </c>
      <c r="K133" s="169" t="e">
        <f t="shared" si="66"/>
        <v>#REF!</v>
      </c>
      <c r="L133" s="169" t="e">
        <f t="shared" si="66"/>
        <v>#REF!</v>
      </c>
      <c r="M133" s="169">
        <f t="shared" si="66"/>
        <v>60223.428</v>
      </c>
      <c r="N133" s="169" t="e">
        <f t="shared" si="66"/>
        <v>#REF!</v>
      </c>
      <c r="O133" s="169" t="e">
        <f t="shared" si="66"/>
        <v>#REF!</v>
      </c>
      <c r="P133" s="169"/>
      <c r="Q133" s="169"/>
      <c r="R133" s="169"/>
      <c r="S133" s="169"/>
      <c r="T133" s="169" t="e">
        <f t="shared" si="66"/>
        <v>#REF!</v>
      </c>
      <c r="U133" s="202"/>
      <c r="V133" s="162" t="e">
        <f t="shared" si="60"/>
        <v>#REF!</v>
      </c>
      <c r="W133" s="162">
        <f t="shared" si="61"/>
        <v>0</v>
      </c>
      <c r="X133" s="162" t="e">
        <f t="shared" si="62"/>
        <v>#REF!</v>
      </c>
      <c r="Y133" s="169" t="e">
        <f t="shared" si="66"/>
        <v>#REF!</v>
      </c>
      <c r="Z133" s="169"/>
      <c r="AA133" s="169"/>
      <c r="AB133" s="162" t="e">
        <f t="shared" si="63"/>
        <v>#REF!</v>
      </c>
      <c r="AC133" s="162">
        <f t="shared" si="64"/>
        <v>0</v>
      </c>
      <c r="AD133" s="162" t="e">
        <f t="shared" si="65"/>
        <v>#REF!</v>
      </c>
      <c r="AE133" s="169">
        <f t="shared" si="66"/>
        <v>110609.32400000001</v>
      </c>
      <c r="AF133" s="169">
        <f t="shared" si="66"/>
        <v>748491.2661222657</v>
      </c>
      <c r="AG133" s="169"/>
      <c r="AH133" s="169" t="e">
        <f t="shared" si="66"/>
        <v>#REF!</v>
      </c>
    </row>
    <row r="134" spans="1:34" s="154" customFormat="1" ht="15.75" hidden="1">
      <c r="A134" s="171" t="s">
        <v>252</v>
      </c>
      <c r="B134" s="192" t="s">
        <v>160</v>
      </c>
      <c r="C134" s="160" t="s">
        <v>249</v>
      </c>
      <c r="D134" s="161"/>
      <c r="E134" s="169">
        <v>657166.0661222658</v>
      </c>
      <c r="F134" s="161">
        <f>F129+F130</f>
        <v>30111.714</v>
      </c>
      <c r="G134" s="161">
        <f>F134</f>
        <v>30111.714</v>
      </c>
      <c r="H134" s="162">
        <f t="shared" si="55"/>
        <v>0</v>
      </c>
      <c r="I134" s="161">
        <f>I129+I130</f>
        <v>30111.714</v>
      </c>
      <c r="J134" s="161">
        <f>I134</f>
        <v>30111.714</v>
      </c>
      <c r="K134" s="162">
        <f t="shared" si="56"/>
        <v>0</v>
      </c>
      <c r="L134" s="162">
        <f t="shared" si="57"/>
        <v>60223.428</v>
      </c>
      <c r="M134" s="162">
        <f t="shared" si="58"/>
        <v>60223.428</v>
      </c>
      <c r="N134" s="162">
        <f t="shared" si="59"/>
        <v>0</v>
      </c>
      <c r="O134" s="161">
        <f>O129+O130</f>
        <v>38800.623999999996</v>
      </c>
      <c r="P134" s="161"/>
      <c r="Q134" s="161"/>
      <c r="R134" s="161"/>
      <c r="S134" s="161"/>
      <c r="T134" s="161">
        <f>T129+T130</f>
        <v>193658.534</v>
      </c>
      <c r="U134" s="204"/>
      <c r="V134" s="162">
        <f t="shared" si="60"/>
        <v>193658.534</v>
      </c>
      <c r="W134" s="162">
        <f t="shared" si="61"/>
        <v>0</v>
      </c>
      <c r="X134" s="162">
        <f t="shared" si="62"/>
        <v>-193658.534</v>
      </c>
      <c r="Y134" s="161">
        <f>Y129+Y130</f>
        <v>30111.714</v>
      </c>
      <c r="Z134" s="161"/>
      <c r="AA134" s="161"/>
      <c r="AB134" s="162">
        <f t="shared" si="63"/>
        <v>223770.24800000002</v>
      </c>
      <c r="AC134" s="162">
        <f t="shared" si="64"/>
        <v>0</v>
      </c>
      <c r="AD134" s="162">
        <f t="shared" si="65"/>
        <v>-223770.24800000002</v>
      </c>
      <c r="AE134" s="161">
        <f>AE129+AE130</f>
        <v>96683.12400000001</v>
      </c>
      <c r="AF134" s="169">
        <v>657166.0661222658</v>
      </c>
      <c r="AG134" s="169"/>
      <c r="AH134" s="164"/>
    </row>
    <row r="135" spans="1:34" ht="31.5" hidden="1">
      <c r="A135" s="171" t="s">
        <v>253</v>
      </c>
      <c r="B135" s="179" t="s">
        <v>163</v>
      </c>
      <c r="C135" s="160" t="s">
        <v>249</v>
      </c>
      <c r="D135" s="162"/>
      <c r="E135" s="194">
        <f>SUM(E137:E152)</f>
        <v>91325.2</v>
      </c>
      <c r="F135" s="169">
        <f>SUM(F137:F152)</f>
        <v>0</v>
      </c>
      <c r="G135" s="169"/>
      <c r="H135" s="162">
        <f t="shared" si="55"/>
        <v>0</v>
      </c>
      <c r="I135" s="169">
        <f aca="true" t="shared" si="67" ref="I135:O135">SUM(I137:I152)</f>
        <v>9987</v>
      </c>
      <c r="J135" s="169">
        <f t="shared" si="67"/>
        <v>0</v>
      </c>
      <c r="K135" s="169">
        <f t="shared" si="67"/>
        <v>-9987</v>
      </c>
      <c r="L135" s="169">
        <f t="shared" si="67"/>
        <v>9987</v>
      </c>
      <c r="M135" s="169">
        <f t="shared" si="67"/>
        <v>0</v>
      </c>
      <c r="N135" s="169">
        <f t="shared" si="67"/>
        <v>-9987</v>
      </c>
      <c r="O135" s="169">
        <f t="shared" si="67"/>
        <v>0</v>
      </c>
      <c r="P135" s="169"/>
      <c r="Q135" s="169"/>
      <c r="R135" s="169"/>
      <c r="S135" s="169"/>
      <c r="T135" s="169">
        <f>SUM(T137:T152)</f>
        <v>700</v>
      </c>
      <c r="U135" s="202"/>
      <c r="V135" s="162">
        <f t="shared" si="60"/>
        <v>700</v>
      </c>
      <c r="W135" s="162">
        <f t="shared" si="61"/>
        <v>0</v>
      </c>
      <c r="X135" s="162">
        <f t="shared" si="62"/>
        <v>-700</v>
      </c>
      <c r="Y135" s="169">
        <f>SUM(Y137:Y152)</f>
        <v>9000</v>
      </c>
      <c r="Z135" s="169"/>
      <c r="AA135" s="169"/>
      <c r="AB135" s="162">
        <f t="shared" si="63"/>
        <v>9700</v>
      </c>
      <c r="AC135" s="162">
        <f t="shared" si="64"/>
        <v>0</v>
      </c>
      <c r="AD135" s="162">
        <f t="shared" si="65"/>
        <v>-9700</v>
      </c>
      <c r="AE135" s="169">
        <f>SUM(AE137:AE152)</f>
        <v>13926.2</v>
      </c>
      <c r="AF135" s="194">
        <f>SUM(AF137:AF152)</f>
        <v>91325.2</v>
      </c>
      <c r="AG135" s="194"/>
      <c r="AH135" s="164" t="e">
        <f>#REF!</f>
        <v>#REF!</v>
      </c>
    </row>
    <row r="136" spans="1:34" ht="15.75" hidden="1">
      <c r="A136" s="171"/>
      <c r="B136" s="175" t="s">
        <v>250</v>
      </c>
      <c r="C136" s="160"/>
      <c r="D136" s="162"/>
      <c r="E136" s="195"/>
      <c r="F136" s="162"/>
      <c r="G136" s="162"/>
      <c r="H136" s="162">
        <f t="shared" si="55"/>
        <v>0</v>
      </c>
      <c r="I136" s="162"/>
      <c r="J136" s="162"/>
      <c r="K136" s="162">
        <f t="shared" si="56"/>
        <v>0</v>
      </c>
      <c r="L136" s="162">
        <f t="shared" si="57"/>
        <v>0</v>
      </c>
      <c r="M136" s="162">
        <f t="shared" si="58"/>
        <v>0</v>
      </c>
      <c r="N136" s="162">
        <f t="shared" si="59"/>
        <v>0</v>
      </c>
      <c r="O136" s="162"/>
      <c r="P136" s="162"/>
      <c r="Q136" s="162"/>
      <c r="R136" s="162"/>
      <c r="S136" s="162"/>
      <c r="T136" s="162"/>
      <c r="U136" s="205"/>
      <c r="V136" s="162">
        <f t="shared" si="60"/>
        <v>0</v>
      </c>
      <c r="W136" s="162">
        <f t="shared" si="61"/>
        <v>0</v>
      </c>
      <c r="X136" s="162">
        <f t="shared" si="62"/>
        <v>0</v>
      </c>
      <c r="Y136" s="162"/>
      <c r="Z136" s="162"/>
      <c r="AA136" s="162"/>
      <c r="AB136" s="162">
        <f t="shared" si="63"/>
        <v>0</v>
      </c>
      <c r="AC136" s="162">
        <f t="shared" si="64"/>
        <v>0</v>
      </c>
      <c r="AD136" s="162">
        <f t="shared" si="65"/>
        <v>0</v>
      </c>
      <c r="AE136" s="162"/>
      <c r="AF136" s="195"/>
      <c r="AG136" s="195"/>
      <c r="AH136" s="167" t="e">
        <f>#REF!</f>
        <v>#REF!</v>
      </c>
    </row>
    <row r="137" spans="1:34" ht="15.75" hidden="1">
      <c r="A137" s="171"/>
      <c r="B137" s="175" t="s">
        <v>164</v>
      </c>
      <c r="C137" s="176" t="s">
        <v>249</v>
      </c>
      <c r="D137" s="162"/>
      <c r="E137" s="195">
        <v>10097</v>
      </c>
      <c r="F137" s="162"/>
      <c r="G137" s="162"/>
      <c r="H137" s="162">
        <f t="shared" si="55"/>
        <v>0</v>
      </c>
      <c r="I137" s="162"/>
      <c r="J137" s="162"/>
      <c r="K137" s="162">
        <f t="shared" si="56"/>
        <v>0</v>
      </c>
      <c r="L137" s="162">
        <f t="shared" si="57"/>
        <v>0</v>
      </c>
      <c r="M137" s="162">
        <f t="shared" si="58"/>
        <v>0</v>
      </c>
      <c r="N137" s="162">
        <f t="shared" si="59"/>
        <v>0</v>
      </c>
      <c r="O137" s="162"/>
      <c r="P137" s="162"/>
      <c r="Q137" s="162"/>
      <c r="R137" s="162"/>
      <c r="S137" s="162"/>
      <c r="T137" s="162"/>
      <c r="U137" s="205"/>
      <c r="V137" s="162">
        <f t="shared" si="60"/>
        <v>0</v>
      </c>
      <c r="W137" s="162">
        <f t="shared" si="61"/>
        <v>0</v>
      </c>
      <c r="X137" s="162">
        <f t="shared" si="62"/>
        <v>0</v>
      </c>
      <c r="Y137" s="162"/>
      <c r="Z137" s="162"/>
      <c r="AA137" s="162"/>
      <c r="AB137" s="162">
        <f t="shared" si="63"/>
        <v>0</v>
      </c>
      <c r="AC137" s="162">
        <f t="shared" si="64"/>
        <v>0</v>
      </c>
      <c r="AD137" s="162">
        <f t="shared" si="65"/>
        <v>0</v>
      </c>
      <c r="AE137" s="162"/>
      <c r="AF137" s="195">
        <v>10097</v>
      </c>
      <c r="AG137" s="195"/>
      <c r="AH137" s="167" t="e">
        <f>#REF!</f>
        <v>#REF!</v>
      </c>
    </row>
    <row r="138" spans="1:34" ht="15.75" hidden="1">
      <c r="A138" s="171"/>
      <c r="B138" s="175" t="s">
        <v>165</v>
      </c>
      <c r="C138" s="176" t="s">
        <v>249</v>
      </c>
      <c r="D138" s="162"/>
      <c r="E138" s="195">
        <v>2000</v>
      </c>
      <c r="F138" s="162"/>
      <c r="G138" s="162"/>
      <c r="H138" s="162">
        <f t="shared" si="55"/>
        <v>0</v>
      </c>
      <c r="I138" s="162"/>
      <c r="J138" s="162"/>
      <c r="K138" s="162">
        <f t="shared" si="56"/>
        <v>0</v>
      </c>
      <c r="L138" s="162">
        <f t="shared" si="57"/>
        <v>0</v>
      </c>
      <c r="M138" s="162">
        <f t="shared" si="58"/>
        <v>0</v>
      </c>
      <c r="N138" s="162">
        <f t="shared" si="59"/>
        <v>0</v>
      </c>
      <c r="O138" s="162"/>
      <c r="P138" s="162"/>
      <c r="Q138" s="162"/>
      <c r="R138" s="162"/>
      <c r="S138" s="162"/>
      <c r="T138" s="162"/>
      <c r="U138" s="205"/>
      <c r="V138" s="162">
        <f t="shared" si="60"/>
        <v>0</v>
      </c>
      <c r="W138" s="162">
        <f t="shared" si="61"/>
        <v>0</v>
      </c>
      <c r="X138" s="162">
        <f t="shared" si="62"/>
        <v>0</v>
      </c>
      <c r="Y138" s="162"/>
      <c r="Z138" s="162"/>
      <c r="AA138" s="162"/>
      <c r="AB138" s="162">
        <f t="shared" si="63"/>
        <v>0</v>
      </c>
      <c r="AC138" s="162">
        <f t="shared" si="64"/>
        <v>0</v>
      </c>
      <c r="AD138" s="162">
        <f t="shared" si="65"/>
        <v>0</v>
      </c>
      <c r="AE138" s="162"/>
      <c r="AF138" s="195">
        <v>2000</v>
      </c>
      <c r="AG138" s="195"/>
      <c r="AH138" s="167" t="e">
        <f>#REF!</f>
        <v>#REF!</v>
      </c>
    </row>
    <row r="139" spans="1:34" ht="15.75" hidden="1">
      <c r="A139" s="171"/>
      <c r="B139" s="175" t="s">
        <v>166</v>
      </c>
      <c r="C139" s="176" t="s">
        <v>249</v>
      </c>
      <c r="D139" s="162"/>
      <c r="E139" s="195">
        <v>5000</v>
      </c>
      <c r="F139" s="162"/>
      <c r="G139" s="162"/>
      <c r="H139" s="162">
        <f t="shared" si="55"/>
        <v>0</v>
      </c>
      <c r="I139" s="162"/>
      <c r="J139" s="162"/>
      <c r="K139" s="162">
        <f t="shared" si="56"/>
        <v>0</v>
      </c>
      <c r="L139" s="162">
        <f t="shared" si="57"/>
        <v>0</v>
      </c>
      <c r="M139" s="162">
        <f t="shared" si="58"/>
        <v>0</v>
      </c>
      <c r="N139" s="162">
        <f t="shared" si="59"/>
        <v>0</v>
      </c>
      <c r="O139" s="162"/>
      <c r="P139" s="162"/>
      <c r="Q139" s="162"/>
      <c r="R139" s="162"/>
      <c r="S139" s="162"/>
      <c r="T139" s="162"/>
      <c r="U139" s="205"/>
      <c r="V139" s="162">
        <f t="shared" si="60"/>
        <v>0</v>
      </c>
      <c r="W139" s="162">
        <f t="shared" si="61"/>
        <v>0</v>
      </c>
      <c r="X139" s="162">
        <f t="shared" si="62"/>
        <v>0</v>
      </c>
      <c r="Y139" s="162">
        <v>2500</v>
      </c>
      <c r="Z139" s="162"/>
      <c r="AA139" s="162"/>
      <c r="AB139" s="162">
        <f t="shared" si="63"/>
        <v>2500</v>
      </c>
      <c r="AC139" s="162">
        <f t="shared" si="64"/>
        <v>0</v>
      </c>
      <c r="AD139" s="162">
        <f t="shared" si="65"/>
        <v>-2500</v>
      </c>
      <c r="AE139" s="162">
        <v>2500</v>
      </c>
      <c r="AF139" s="195">
        <v>5000</v>
      </c>
      <c r="AG139" s="195"/>
      <c r="AH139" s="167" t="e">
        <f>#REF!</f>
        <v>#REF!</v>
      </c>
    </row>
    <row r="140" spans="1:34" ht="15.75" hidden="1">
      <c r="A140" s="171"/>
      <c r="B140" s="175" t="s">
        <v>167</v>
      </c>
      <c r="C140" s="176" t="s">
        <v>249</v>
      </c>
      <c r="D140" s="162"/>
      <c r="E140" s="195">
        <v>700</v>
      </c>
      <c r="F140" s="162"/>
      <c r="G140" s="162"/>
      <c r="H140" s="162">
        <f t="shared" si="55"/>
        <v>0</v>
      </c>
      <c r="I140" s="162"/>
      <c r="J140" s="162"/>
      <c r="K140" s="162">
        <f t="shared" si="56"/>
        <v>0</v>
      </c>
      <c r="L140" s="162">
        <f t="shared" si="57"/>
        <v>0</v>
      </c>
      <c r="M140" s="162">
        <f t="shared" si="58"/>
        <v>0</v>
      </c>
      <c r="N140" s="162">
        <f t="shared" si="59"/>
        <v>0</v>
      </c>
      <c r="O140" s="162"/>
      <c r="P140" s="162"/>
      <c r="Q140" s="162"/>
      <c r="R140" s="162"/>
      <c r="S140" s="162"/>
      <c r="T140" s="162"/>
      <c r="U140" s="205"/>
      <c r="V140" s="162">
        <f t="shared" si="60"/>
        <v>0</v>
      </c>
      <c r="W140" s="162">
        <f t="shared" si="61"/>
        <v>0</v>
      </c>
      <c r="X140" s="162">
        <f t="shared" si="62"/>
        <v>0</v>
      </c>
      <c r="Y140" s="162"/>
      <c r="Z140" s="162"/>
      <c r="AA140" s="162"/>
      <c r="AB140" s="162">
        <f t="shared" si="63"/>
        <v>0</v>
      </c>
      <c r="AC140" s="162">
        <f t="shared" si="64"/>
        <v>0</v>
      </c>
      <c r="AD140" s="162">
        <f t="shared" si="65"/>
        <v>0</v>
      </c>
      <c r="AE140" s="162"/>
      <c r="AF140" s="195">
        <v>700</v>
      </c>
      <c r="AG140" s="195"/>
      <c r="AH140" s="167" t="e">
        <f>#REF!</f>
        <v>#REF!</v>
      </c>
    </row>
    <row r="141" spans="1:34" ht="15.75" hidden="1">
      <c r="A141" s="171"/>
      <c r="B141" s="175" t="s">
        <v>168</v>
      </c>
      <c r="C141" s="176" t="s">
        <v>249</v>
      </c>
      <c r="D141" s="162"/>
      <c r="E141" s="195">
        <v>4300</v>
      </c>
      <c r="F141" s="162"/>
      <c r="G141" s="162"/>
      <c r="H141" s="162">
        <f t="shared" si="55"/>
        <v>0</v>
      </c>
      <c r="I141" s="162"/>
      <c r="J141" s="162"/>
      <c r="K141" s="162">
        <f t="shared" si="56"/>
        <v>0</v>
      </c>
      <c r="L141" s="162">
        <f t="shared" si="57"/>
        <v>0</v>
      </c>
      <c r="M141" s="162">
        <f t="shared" si="58"/>
        <v>0</v>
      </c>
      <c r="N141" s="162">
        <f t="shared" si="59"/>
        <v>0</v>
      </c>
      <c r="O141" s="162"/>
      <c r="P141" s="162"/>
      <c r="Q141" s="162"/>
      <c r="R141" s="162"/>
      <c r="S141" s="162"/>
      <c r="T141" s="162"/>
      <c r="U141" s="205"/>
      <c r="V141" s="162">
        <f t="shared" si="60"/>
        <v>0</v>
      </c>
      <c r="W141" s="162">
        <f t="shared" si="61"/>
        <v>0</v>
      </c>
      <c r="X141" s="162">
        <f t="shared" si="62"/>
        <v>0</v>
      </c>
      <c r="Y141" s="162"/>
      <c r="Z141" s="162"/>
      <c r="AA141" s="162"/>
      <c r="AB141" s="162">
        <f t="shared" si="63"/>
        <v>0</v>
      </c>
      <c r="AC141" s="162">
        <f t="shared" si="64"/>
        <v>0</v>
      </c>
      <c r="AD141" s="162">
        <f t="shared" si="65"/>
        <v>0</v>
      </c>
      <c r="AE141" s="162"/>
      <c r="AF141" s="195">
        <v>4300</v>
      </c>
      <c r="AG141" s="195"/>
      <c r="AH141" s="167" t="e">
        <f>#REF!</f>
        <v>#REF!</v>
      </c>
    </row>
    <row r="142" spans="1:34" ht="15.75" hidden="1">
      <c r="A142" s="171"/>
      <c r="B142" s="175" t="s">
        <v>169</v>
      </c>
      <c r="C142" s="176" t="s">
        <v>249</v>
      </c>
      <c r="D142" s="162"/>
      <c r="E142" s="195">
        <v>3228</v>
      </c>
      <c r="F142" s="162"/>
      <c r="G142" s="162"/>
      <c r="H142" s="162">
        <f t="shared" si="55"/>
        <v>0</v>
      </c>
      <c r="I142" s="162"/>
      <c r="J142" s="162"/>
      <c r="K142" s="162">
        <f t="shared" si="56"/>
        <v>0</v>
      </c>
      <c r="L142" s="162">
        <f t="shared" si="57"/>
        <v>0</v>
      </c>
      <c r="M142" s="162">
        <f t="shared" si="58"/>
        <v>0</v>
      </c>
      <c r="N142" s="162">
        <f t="shared" si="59"/>
        <v>0</v>
      </c>
      <c r="O142" s="162"/>
      <c r="P142" s="162"/>
      <c r="Q142" s="162"/>
      <c r="R142" s="162"/>
      <c r="S142" s="162"/>
      <c r="T142" s="162"/>
      <c r="U142" s="205"/>
      <c r="V142" s="162">
        <f t="shared" si="60"/>
        <v>0</v>
      </c>
      <c r="W142" s="162">
        <f t="shared" si="61"/>
        <v>0</v>
      </c>
      <c r="X142" s="162">
        <f t="shared" si="62"/>
        <v>0</v>
      </c>
      <c r="Y142" s="162"/>
      <c r="Z142" s="162"/>
      <c r="AA142" s="162"/>
      <c r="AB142" s="162">
        <f t="shared" si="63"/>
        <v>0</v>
      </c>
      <c r="AC142" s="162">
        <f t="shared" si="64"/>
        <v>0</v>
      </c>
      <c r="AD142" s="162">
        <f t="shared" si="65"/>
        <v>0</v>
      </c>
      <c r="AE142" s="162"/>
      <c r="AF142" s="195">
        <v>3228</v>
      </c>
      <c r="AG142" s="195"/>
      <c r="AH142" s="167" t="e">
        <f>#REF!</f>
        <v>#REF!</v>
      </c>
    </row>
    <row r="143" spans="1:34" ht="15.75" hidden="1">
      <c r="A143" s="171"/>
      <c r="B143" s="175" t="s">
        <v>170</v>
      </c>
      <c r="C143" s="176" t="s">
        <v>249</v>
      </c>
      <c r="D143" s="162"/>
      <c r="E143" s="195">
        <v>1058</v>
      </c>
      <c r="F143" s="162"/>
      <c r="G143" s="162"/>
      <c r="H143" s="162">
        <f t="shared" si="55"/>
        <v>0</v>
      </c>
      <c r="I143" s="162"/>
      <c r="J143" s="162"/>
      <c r="K143" s="162">
        <f t="shared" si="56"/>
        <v>0</v>
      </c>
      <c r="L143" s="162">
        <f t="shared" si="57"/>
        <v>0</v>
      </c>
      <c r="M143" s="162">
        <f t="shared" si="58"/>
        <v>0</v>
      </c>
      <c r="N143" s="162">
        <f t="shared" si="59"/>
        <v>0</v>
      </c>
      <c r="O143" s="162"/>
      <c r="P143" s="162"/>
      <c r="Q143" s="162"/>
      <c r="R143" s="162"/>
      <c r="S143" s="162"/>
      <c r="T143" s="162"/>
      <c r="U143" s="205"/>
      <c r="V143" s="162">
        <f t="shared" si="60"/>
        <v>0</v>
      </c>
      <c r="W143" s="162">
        <f t="shared" si="61"/>
        <v>0</v>
      </c>
      <c r="X143" s="162">
        <f t="shared" si="62"/>
        <v>0</v>
      </c>
      <c r="Y143" s="162"/>
      <c r="Z143" s="162"/>
      <c r="AA143" s="162"/>
      <c r="AB143" s="162">
        <f t="shared" si="63"/>
        <v>0</v>
      </c>
      <c r="AC143" s="162">
        <f t="shared" si="64"/>
        <v>0</v>
      </c>
      <c r="AD143" s="162">
        <f t="shared" si="65"/>
        <v>0</v>
      </c>
      <c r="AE143" s="162"/>
      <c r="AF143" s="195">
        <v>1058</v>
      </c>
      <c r="AG143" s="195"/>
      <c r="AH143" s="167" t="e">
        <f>#REF!</f>
        <v>#REF!</v>
      </c>
    </row>
    <row r="144" spans="1:34" ht="15.75" hidden="1">
      <c r="A144" s="171"/>
      <c r="B144" s="175" t="s">
        <v>171</v>
      </c>
      <c r="C144" s="176" t="s">
        <v>249</v>
      </c>
      <c r="D144" s="162"/>
      <c r="E144" s="195">
        <v>3144</v>
      </c>
      <c r="F144" s="162"/>
      <c r="G144" s="162"/>
      <c r="H144" s="162">
        <f t="shared" si="55"/>
        <v>0</v>
      </c>
      <c r="I144" s="162"/>
      <c r="J144" s="162"/>
      <c r="K144" s="162">
        <f t="shared" si="56"/>
        <v>0</v>
      </c>
      <c r="L144" s="162">
        <f t="shared" si="57"/>
        <v>0</v>
      </c>
      <c r="M144" s="162">
        <f t="shared" si="58"/>
        <v>0</v>
      </c>
      <c r="N144" s="162">
        <f t="shared" si="59"/>
        <v>0</v>
      </c>
      <c r="O144" s="162"/>
      <c r="P144" s="162"/>
      <c r="Q144" s="162"/>
      <c r="R144" s="162"/>
      <c r="S144" s="162"/>
      <c r="T144" s="162"/>
      <c r="U144" s="205"/>
      <c r="V144" s="162">
        <f t="shared" si="60"/>
        <v>0</v>
      </c>
      <c r="W144" s="162">
        <f t="shared" si="61"/>
        <v>0</v>
      </c>
      <c r="X144" s="162">
        <f t="shared" si="62"/>
        <v>0</v>
      </c>
      <c r="Y144" s="162"/>
      <c r="Z144" s="162"/>
      <c r="AA144" s="162"/>
      <c r="AB144" s="162">
        <f t="shared" si="63"/>
        <v>0</v>
      </c>
      <c r="AC144" s="162">
        <f t="shared" si="64"/>
        <v>0</v>
      </c>
      <c r="AD144" s="162">
        <f t="shared" si="65"/>
        <v>0</v>
      </c>
      <c r="AE144" s="162"/>
      <c r="AF144" s="195">
        <v>3144</v>
      </c>
      <c r="AG144" s="195"/>
      <c r="AH144" s="167" t="e">
        <f>#REF!</f>
        <v>#REF!</v>
      </c>
    </row>
    <row r="145" spans="1:34" ht="31.5" hidden="1">
      <c r="A145" s="171"/>
      <c r="B145" s="175" t="s">
        <v>172</v>
      </c>
      <c r="C145" s="176" t="s">
        <v>249</v>
      </c>
      <c r="D145" s="162"/>
      <c r="E145" s="195">
        <v>901</v>
      </c>
      <c r="F145" s="162"/>
      <c r="G145" s="162"/>
      <c r="H145" s="162">
        <f t="shared" si="55"/>
        <v>0</v>
      </c>
      <c r="I145" s="162"/>
      <c r="J145" s="162"/>
      <c r="K145" s="162">
        <f t="shared" si="56"/>
        <v>0</v>
      </c>
      <c r="L145" s="162">
        <f t="shared" si="57"/>
        <v>0</v>
      </c>
      <c r="M145" s="162">
        <f t="shared" si="58"/>
        <v>0</v>
      </c>
      <c r="N145" s="162">
        <f t="shared" si="59"/>
        <v>0</v>
      </c>
      <c r="O145" s="162"/>
      <c r="P145" s="162"/>
      <c r="Q145" s="162"/>
      <c r="R145" s="162"/>
      <c r="S145" s="162"/>
      <c r="T145" s="162"/>
      <c r="U145" s="205"/>
      <c r="V145" s="162">
        <f t="shared" si="60"/>
        <v>0</v>
      </c>
      <c r="W145" s="162">
        <f t="shared" si="61"/>
        <v>0</v>
      </c>
      <c r="X145" s="162">
        <f t="shared" si="62"/>
        <v>0</v>
      </c>
      <c r="Y145" s="162"/>
      <c r="Z145" s="162"/>
      <c r="AA145" s="162"/>
      <c r="AB145" s="162">
        <f t="shared" si="63"/>
        <v>0</v>
      </c>
      <c r="AC145" s="162">
        <f t="shared" si="64"/>
        <v>0</v>
      </c>
      <c r="AD145" s="162">
        <f t="shared" si="65"/>
        <v>0</v>
      </c>
      <c r="AE145" s="162"/>
      <c r="AF145" s="195">
        <v>901</v>
      </c>
      <c r="AG145" s="195"/>
      <c r="AH145" s="167" t="e">
        <f>#REF!</f>
        <v>#REF!</v>
      </c>
    </row>
    <row r="146" spans="1:34" ht="31.5" hidden="1">
      <c r="A146" s="171"/>
      <c r="B146" s="175" t="s">
        <v>173</v>
      </c>
      <c r="C146" s="176" t="s">
        <v>249</v>
      </c>
      <c r="D146" s="162"/>
      <c r="E146" s="195">
        <v>3487</v>
      </c>
      <c r="F146" s="162"/>
      <c r="G146" s="162"/>
      <c r="H146" s="162">
        <f t="shared" si="55"/>
        <v>0</v>
      </c>
      <c r="I146" s="162">
        <v>3487</v>
      </c>
      <c r="J146" s="162"/>
      <c r="K146" s="162">
        <f t="shared" si="56"/>
        <v>-3487</v>
      </c>
      <c r="L146" s="162">
        <f t="shared" si="57"/>
        <v>3487</v>
      </c>
      <c r="M146" s="162">
        <f t="shared" si="58"/>
        <v>0</v>
      </c>
      <c r="N146" s="162">
        <f t="shared" si="59"/>
        <v>-3487</v>
      </c>
      <c r="O146" s="162"/>
      <c r="P146" s="162"/>
      <c r="Q146" s="162"/>
      <c r="R146" s="162"/>
      <c r="S146" s="162"/>
      <c r="T146" s="162"/>
      <c r="U146" s="205"/>
      <c r="V146" s="162">
        <f t="shared" si="60"/>
        <v>0</v>
      </c>
      <c r="W146" s="162">
        <f t="shared" si="61"/>
        <v>0</v>
      </c>
      <c r="X146" s="162">
        <f t="shared" si="62"/>
        <v>0</v>
      </c>
      <c r="Y146" s="162"/>
      <c r="Z146" s="162"/>
      <c r="AA146" s="162"/>
      <c r="AB146" s="162">
        <f t="shared" si="63"/>
        <v>0</v>
      </c>
      <c r="AC146" s="162">
        <f t="shared" si="64"/>
        <v>0</v>
      </c>
      <c r="AD146" s="162">
        <f t="shared" si="65"/>
        <v>0</v>
      </c>
      <c r="AE146" s="162"/>
      <c r="AF146" s="195">
        <v>3487</v>
      </c>
      <c r="AG146" s="195"/>
      <c r="AH146" s="167" t="e">
        <f>#REF!</f>
        <v>#REF!</v>
      </c>
    </row>
    <row r="147" spans="1:34" ht="31.5" hidden="1">
      <c r="A147" s="171"/>
      <c r="B147" s="175" t="s">
        <v>174</v>
      </c>
      <c r="C147" s="176" t="s">
        <v>249</v>
      </c>
      <c r="D147" s="162"/>
      <c r="E147" s="195">
        <v>3648</v>
      </c>
      <c r="F147" s="162"/>
      <c r="G147" s="162"/>
      <c r="H147" s="162">
        <f t="shared" si="55"/>
        <v>0</v>
      </c>
      <c r="I147" s="162"/>
      <c r="J147" s="162"/>
      <c r="K147" s="162">
        <f t="shared" si="56"/>
        <v>0</v>
      </c>
      <c r="L147" s="162">
        <f t="shared" si="57"/>
        <v>0</v>
      </c>
      <c r="M147" s="162">
        <f t="shared" si="58"/>
        <v>0</v>
      </c>
      <c r="N147" s="162">
        <f t="shared" si="59"/>
        <v>0</v>
      </c>
      <c r="O147" s="162"/>
      <c r="P147" s="162"/>
      <c r="Q147" s="162"/>
      <c r="R147" s="162"/>
      <c r="S147" s="162"/>
      <c r="T147" s="162"/>
      <c r="U147" s="205"/>
      <c r="V147" s="162">
        <f t="shared" si="60"/>
        <v>0</v>
      </c>
      <c r="W147" s="162">
        <f t="shared" si="61"/>
        <v>0</v>
      </c>
      <c r="X147" s="162">
        <f t="shared" si="62"/>
        <v>0</v>
      </c>
      <c r="Y147" s="162"/>
      <c r="Z147" s="162"/>
      <c r="AA147" s="162"/>
      <c r="AB147" s="162">
        <f t="shared" si="63"/>
        <v>0</v>
      </c>
      <c r="AC147" s="162">
        <f t="shared" si="64"/>
        <v>0</v>
      </c>
      <c r="AD147" s="162">
        <f t="shared" si="65"/>
        <v>0</v>
      </c>
      <c r="AE147" s="162">
        <f>E147</f>
        <v>3648</v>
      </c>
      <c r="AF147" s="195">
        <v>3648</v>
      </c>
      <c r="AG147" s="195"/>
      <c r="AH147" s="167" t="e">
        <f>#REF!</f>
        <v>#REF!</v>
      </c>
    </row>
    <row r="148" spans="1:34" ht="15.75" hidden="1">
      <c r="A148" s="171"/>
      <c r="B148" s="175" t="s">
        <v>175</v>
      </c>
      <c r="C148" s="176" t="s">
        <v>249</v>
      </c>
      <c r="D148" s="162"/>
      <c r="E148" s="195">
        <v>700</v>
      </c>
      <c r="F148" s="162"/>
      <c r="G148" s="162"/>
      <c r="H148" s="162">
        <f t="shared" si="55"/>
        <v>0</v>
      </c>
      <c r="I148" s="162"/>
      <c r="J148" s="162"/>
      <c r="K148" s="162">
        <f t="shared" si="56"/>
        <v>0</v>
      </c>
      <c r="L148" s="162">
        <f t="shared" si="57"/>
        <v>0</v>
      </c>
      <c r="M148" s="162">
        <f t="shared" si="58"/>
        <v>0</v>
      </c>
      <c r="N148" s="162">
        <f t="shared" si="59"/>
        <v>0</v>
      </c>
      <c r="O148" s="162"/>
      <c r="P148" s="162"/>
      <c r="Q148" s="162"/>
      <c r="R148" s="162"/>
      <c r="S148" s="162"/>
      <c r="T148" s="162">
        <f>E148</f>
        <v>700</v>
      </c>
      <c r="U148" s="205"/>
      <c r="V148" s="162">
        <f t="shared" si="60"/>
        <v>700</v>
      </c>
      <c r="W148" s="162">
        <f t="shared" si="61"/>
        <v>0</v>
      </c>
      <c r="X148" s="162">
        <f t="shared" si="62"/>
        <v>-700</v>
      </c>
      <c r="Y148" s="162"/>
      <c r="Z148" s="162"/>
      <c r="AA148" s="162"/>
      <c r="AB148" s="162">
        <f t="shared" si="63"/>
        <v>700</v>
      </c>
      <c r="AC148" s="162">
        <f t="shared" si="64"/>
        <v>0</v>
      </c>
      <c r="AD148" s="162">
        <f t="shared" si="65"/>
        <v>-700</v>
      </c>
      <c r="AE148" s="162"/>
      <c r="AF148" s="195">
        <v>700</v>
      </c>
      <c r="AG148" s="195"/>
      <c r="AH148" s="167" t="e">
        <f>#REF!</f>
        <v>#REF!</v>
      </c>
    </row>
    <row r="149" spans="1:34" ht="15.75" hidden="1">
      <c r="A149" s="171"/>
      <c r="B149" s="175" t="s">
        <v>176</v>
      </c>
      <c r="C149" s="176" t="s">
        <v>249</v>
      </c>
      <c r="D149" s="162"/>
      <c r="E149" s="195">
        <v>1278.2</v>
      </c>
      <c r="F149" s="162"/>
      <c r="G149" s="162"/>
      <c r="H149" s="162">
        <f t="shared" si="55"/>
        <v>0</v>
      </c>
      <c r="I149" s="162"/>
      <c r="J149" s="162"/>
      <c r="K149" s="162">
        <f t="shared" si="56"/>
        <v>0</v>
      </c>
      <c r="L149" s="162">
        <f t="shared" si="57"/>
        <v>0</v>
      </c>
      <c r="M149" s="162">
        <f t="shared" si="58"/>
        <v>0</v>
      </c>
      <c r="N149" s="162">
        <f t="shared" si="59"/>
        <v>0</v>
      </c>
      <c r="O149" s="162"/>
      <c r="P149" s="162"/>
      <c r="Q149" s="162"/>
      <c r="R149" s="162"/>
      <c r="S149" s="162"/>
      <c r="T149" s="162"/>
      <c r="U149" s="205"/>
      <c r="V149" s="162">
        <f t="shared" si="60"/>
        <v>0</v>
      </c>
      <c r="W149" s="162">
        <f t="shared" si="61"/>
        <v>0</v>
      </c>
      <c r="X149" s="162">
        <f t="shared" si="62"/>
        <v>0</v>
      </c>
      <c r="Y149" s="162"/>
      <c r="Z149" s="162"/>
      <c r="AA149" s="162"/>
      <c r="AB149" s="162">
        <f t="shared" si="63"/>
        <v>0</v>
      </c>
      <c r="AC149" s="162">
        <f t="shared" si="64"/>
        <v>0</v>
      </c>
      <c r="AD149" s="162">
        <f t="shared" si="65"/>
        <v>0</v>
      </c>
      <c r="AE149" s="162">
        <f>E149</f>
        <v>1278.2</v>
      </c>
      <c r="AF149" s="195">
        <v>1278.2</v>
      </c>
      <c r="AG149" s="195"/>
      <c r="AH149" s="167" t="e">
        <f>#REF!</f>
        <v>#REF!</v>
      </c>
    </row>
    <row r="150" spans="1:34" ht="15.75" hidden="1">
      <c r="A150" s="171"/>
      <c r="B150" s="175" t="s">
        <v>177</v>
      </c>
      <c r="C150" s="176" t="s">
        <v>249</v>
      </c>
      <c r="D150" s="162"/>
      <c r="E150" s="195">
        <v>21500</v>
      </c>
      <c r="F150" s="162"/>
      <c r="G150" s="162"/>
      <c r="H150" s="162">
        <f t="shared" si="55"/>
        <v>0</v>
      </c>
      <c r="I150" s="162"/>
      <c r="J150" s="162"/>
      <c r="K150" s="162">
        <f t="shared" si="56"/>
        <v>0</v>
      </c>
      <c r="L150" s="162">
        <f t="shared" si="57"/>
        <v>0</v>
      </c>
      <c r="M150" s="162">
        <f t="shared" si="58"/>
        <v>0</v>
      </c>
      <c r="N150" s="162">
        <f t="shared" si="59"/>
        <v>0</v>
      </c>
      <c r="O150" s="162"/>
      <c r="P150" s="162"/>
      <c r="Q150" s="162"/>
      <c r="R150" s="162"/>
      <c r="S150" s="162"/>
      <c r="T150" s="162"/>
      <c r="U150" s="205"/>
      <c r="V150" s="162">
        <f t="shared" si="60"/>
        <v>0</v>
      </c>
      <c r="W150" s="162">
        <f t="shared" si="61"/>
        <v>0</v>
      </c>
      <c r="X150" s="162">
        <f t="shared" si="62"/>
        <v>0</v>
      </c>
      <c r="Y150" s="162"/>
      <c r="Z150" s="162"/>
      <c r="AA150" s="162"/>
      <c r="AB150" s="162">
        <f t="shared" si="63"/>
        <v>0</v>
      </c>
      <c r="AC150" s="162">
        <f t="shared" si="64"/>
        <v>0</v>
      </c>
      <c r="AD150" s="162">
        <f t="shared" si="65"/>
        <v>0</v>
      </c>
      <c r="AE150" s="162"/>
      <c r="AF150" s="195">
        <v>21500</v>
      </c>
      <c r="AG150" s="195"/>
      <c r="AH150" s="167" t="e">
        <f>#REF!</f>
        <v>#REF!</v>
      </c>
    </row>
    <row r="151" spans="1:34" ht="31.5" hidden="1">
      <c r="A151" s="171"/>
      <c r="B151" s="175" t="s">
        <v>178</v>
      </c>
      <c r="C151" s="176" t="s">
        <v>249</v>
      </c>
      <c r="D151" s="162"/>
      <c r="E151" s="195">
        <v>26000</v>
      </c>
      <c r="F151" s="162"/>
      <c r="G151" s="162"/>
      <c r="H151" s="162">
        <f t="shared" si="55"/>
        <v>0</v>
      </c>
      <c r="I151" s="162">
        <v>6500</v>
      </c>
      <c r="J151" s="162"/>
      <c r="K151" s="162">
        <f t="shared" si="56"/>
        <v>-6500</v>
      </c>
      <c r="L151" s="162">
        <f t="shared" si="57"/>
        <v>6500</v>
      </c>
      <c r="M151" s="162">
        <f t="shared" si="58"/>
        <v>0</v>
      </c>
      <c r="N151" s="162">
        <f t="shared" si="59"/>
        <v>-6500</v>
      </c>
      <c r="O151" s="162"/>
      <c r="P151" s="162"/>
      <c r="Q151" s="162"/>
      <c r="R151" s="162"/>
      <c r="S151" s="162"/>
      <c r="T151" s="162"/>
      <c r="U151" s="205"/>
      <c r="V151" s="162">
        <f t="shared" si="60"/>
        <v>0</v>
      </c>
      <c r="W151" s="162">
        <f t="shared" si="61"/>
        <v>0</v>
      </c>
      <c r="X151" s="162">
        <f t="shared" si="62"/>
        <v>0</v>
      </c>
      <c r="Y151" s="162">
        <v>6500</v>
      </c>
      <c r="Z151" s="162"/>
      <c r="AA151" s="162"/>
      <c r="AB151" s="162">
        <f t="shared" si="63"/>
        <v>6500</v>
      </c>
      <c r="AC151" s="162">
        <f t="shared" si="64"/>
        <v>0</v>
      </c>
      <c r="AD151" s="162">
        <f t="shared" si="65"/>
        <v>-6500</v>
      </c>
      <c r="AE151" s="162">
        <v>6500</v>
      </c>
      <c r="AF151" s="195">
        <v>26000</v>
      </c>
      <c r="AG151" s="195"/>
      <c r="AH151" s="167" t="e">
        <f>#REF!</f>
        <v>#REF!</v>
      </c>
    </row>
    <row r="152" spans="1:34" ht="15.75" hidden="1">
      <c r="A152" s="171"/>
      <c r="B152" s="175" t="s">
        <v>179</v>
      </c>
      <c r="C152" s="176" t="s">
        <v>249</v>
      </c>
      <c r="D152" s="162"/>
      <c r="E152" s="195">
        <v>4284</v>
      </c>
      <c r="F152" s="162"/>
      <c r="G152" s="162"/>
      <c r="H152" s="162">
        <f t="shared" si="55"/>
        <v>0</v>
      </c>
      <c r="I152" s="162"/>
      <c r="J152" s="162"/>
      <c r="K152" s="162">
        <f t="shared" si="56"/>
        <v>0</v>
      </c>
      <c r="L152" s="162">
        <f t="shared" si="57"/>
        <v>0</v>
      </c>
      <c r="M152" s="162">
        <f t="shared" si="58"/>
        <v>0</v>
      </c>
      <c r="N152" s="162">
        <f t="shared" si="59"/>
        <v>0</v>
      </c>
      <c r="O152" s="162"/>
      <c r="P152" s="162"/>
      <c r="Q152" s="162"/>
      <c r="R152" s="162"/>
      <c r="S152" s="162"/>
      <c r="T152" s="162"/>
      <c r="U152" s="205"/>
      <c r="V152" s="162">
        <f t="shared" si="60"/>
        <v>0</v>
      </c>
      <c r="W152" s="162">
        <f t="shared" si="61"/>
        <v>0</v>
      </c>
      <c r="X152" s="162">
        <f t="shared" si="62"/>
        <v>0</v>
      </c>
      <c r="Y152" s="162"/>
      <c r="Z152" s="162"/>
      <c r="AA152" s="162"/>
      <c r="AB152" s="162">
        <f t="shared" si="63"/>
        <v>0</v>
      </c>
      <c r="AC152" s="162">
        <f t="shared" si="64"/>
        <v>0</v>
      </c>
      <c r="AD152" s="162">
        <f t="shared" si="65"/>
        <v>0</v>
      </c>
      <c r="AE152" s="162"/>
      <c r="AF152" s="195">
        <v>4284</v>
      </c>
      <c r="AG152" s="195"/>
      <c r="AH152" s="167" t="e">
        <f>#REF!</f>
        <v>#REF!</v>
      </c>
    </row>
    <row r="153" spans="1:34" ht="15.75" hidden="1">
      <c r="A153" s="171" t="s">
        <v>400</v>
      </c>
      <c r="B153" s="179" t="s">
        <v>180</v>
      </c>
      <c r="C153" s="160" t="s">
        <v>249</v>
      </c>
      <c r="D153" s="161"/>
      <c r="E153" s="194">
        <f>SUM(E155:E161)</f>
        <v>82192</v>
      </c>
      <c r="F153" s="169" t="e">
        <f>SUM(F155:F165)</f>
        <v>#REF!</v>
      </c>
      <c r="G153" s="169"/>
      <c r="H153" s="162" t="e">
        <f t="shared" si="55"/>
        <v>#REF!</v>
      </c>
      <c r="I153" s="169" t="e">
        <f>SUM(I155:I165)</f>
        <v>#REF!</v>
      </c>
      <c r="J153" s="169"/>
      <c r="K153" s="162" t="e">
        <f t="shared" si="56"/>
        <v>#REF!</v>
      </c>
      <c r="L153" s="162" t="e">
        <f t="shared" si="57"/>
        <v>#REF!</v>
      </c>
      <c r="M153" s="162">
        <f t="shared" si="58"/>
        <v>0</v>
      </c>
      <c r="N153" s="162" t="e">
        <f t="shared" si="59"/>
        <v>#REF!</v>
      </c>
      <c r="O153" s="169" t="e">
        <f>SUM(O155:O165)</f>
        <v>#REF!</v>
      </c>
      <c r="P153" s="169"/>
      <c r="Q153" s="169"/>
      <c r="R153" s="169"/>
      <c r="S153" s="169"/>
      <c r="T153" s="169" t="e">
        <f>SUM(T155:T165)</f>
        <v>#REF!</v>
      </c>
      <c r="U153" s="202"/>
      <c r="V153" s="162" t="e">
        <f t="shared" si="60"/>
        <v>#REF!</v>
      </c>
      <c r="W153" s="162">
        <f t="shared" si="61"/>
        <v>0</v>
      </c>
      <c r="X153" s="162" t="e">
        <f t="shared" si="62"/>
        <v>#REF!</v>
      </c>
      <c r="Y153" s="169" t="e">
        <f>SUM(Y155:Y165)</f>
        <v>#REF!</v>
      </c>
      <c r="Z153" s="169"/>
      <c r="AA153" s="169"/>
      <c r="AB153" s="162" t="e">
        <f t="shared" si="63"/>
        <v>#REF!</v>
      </c>
      <c r="AC153" s="162">
        <f t="shared" si="64"/>
        <v>0</v>
      </c>
      <c r="AD153" s="162" t="e">
        <f t="shared" si="65"/>
        <v>#REF!</v>
      </c>
      <c r="AE153" s="169">
        <f>SUM(AE155:AE165)</f>
        <v>0</v>
      </c>
      <c r="AF153" s="169"/>
      <c r="AG153" s="169"/>
      <c r="AH153" s="169" t="e">
        <f>SUM(AH155:AH163)</f>
        <v>#REF!</v>
      </c>
    </row>
    <row r="154" spans="1:34" ht="15.75" hidden="1">
      <c r="A154" s="189"/>
      <c r="B154" s="175" t="s">
        <v>250</v>
      </c>
      <c r="C154" s="176"/>
      <c r="D154" s="162"/>
      <c r="E154" s="195"/>
      <c r="F154" s="162"/>
      <c r="G154" s="162"/>
      <c r="H154" s="162">
        <f t="shared" si="55"/>
        <v>0</v>
      </c>
      <c r="I154" s="162"/>
      <c r="J154" s="162"/>
      <c r="K154" s="162">
        <f t="shared" si="56"/>
        <v>0</v>
      </c>
      <c r="L154" s="162">
        <f t="shared" si="57"/>
        <v>0</v>
      </c>
      <c r="M154" s="162">
        <f t="shared" si="58"/>
        <v>0</v>
      </c>
      <c r="N154" s="162">
        <f t="shared" si="59"/>
        <v>0</v>
      </c>
      <c r="O154" s="162"/>
      <c r="P154" s="162"/>
      <c r="Q154" s="162"/>
      <c r="R154" s="162"/>
      <c r="S154" s="162"/>
      <c r="T154" s="162"/>
      <c r="U154" s="205"/>
      <c r="V154" s="162">
        <f t="shared" si="60"/>
        <v>0</v>
      </c>
      <c r="W154" s="162">
        <f t="shared" si="61"/>
        <v>0</v>
      </c>
      <c r="X154" s="162">
        <f t="shared" si="62"/>
        <v>0</v>
      </c>
      <c r="Y154" s="162"/>
      <c r="Z154" s="162"/>
      <c r="AA154" s="162"/>
      <c r="AB154" s="162">
        <f t="shared" si="63"/>
        <v>0</v>
      </c>
      <c r="AC154" s="162">
        <f t="shared" si="64"/>
        <v>0</v>
      </c>
      <c r="AD154" s="162">
        <f t="shared" si="65"/>
        <v>0</v>
      </c>
      <c r="AE154" s="162"/>
      <c r="AF154" s="195"/>
      <c r="AG154" s="195"/>
      <c r="AH154" s="167" t="e">
        <f>#REF!</f>
        <v>#REF!</v>
      </c>
    </row>
    <row r="155" spans="1:34" ht="15.75" hidden="1">
      <c r="A155" s="189"/>
      <c r="B155" s="175" t="s">
        <v>181</v>
      </c>
      <c r="C155" s="176" t="s">
        <v>249</v>
      </c>
      <c r="D155" s="162"/>
      <c r="E155" s="195">
        <v>2175</v>
      </c>
      <c r="F155" s="162"/>
      <c r="G155" s="162"/>
      <c r="H155" s="162">
        <f t="shared" si="55"/>
        <v>0</v>
      </c>
      <c r="I155" s="162"/>
      <c r="J155" s="162"/>
      <c r="K155" s="162">
        <f t="shared" si="56"/>
        <v>0</v>
      </c>
      <c r="L155" s="162">
        <f t="shared" si="57"/>
        <v>0</v>
      </c>
      <c r="M155" s="162">
        <f t="shared" si="58"/>
        <v>0</v>
      </c>
      <c r="N155" s="162">
        <f t="shared" si="59"/>
        <v>0</v>
      </c>
      <c r="O155" s="162">
        <f>E155</f>
        <v>2175</v>
      </c>
      <c r="P155" s="162"/>
      <c r="Q155" s="162"/>
      <c r="R155" s="162"/>
      <c r="S155" s="162"/>
      <c r="T155" s="162"/>
      <c r="U155" s="205"/>
      <c r="V155" s="162">
        <f t="shared" si="60"/>
        <v>0</v>
      </c>
      <c r="W155" s="162">
        <f t="shared" si="61"/>
        <v>0</v>
      </c>
      <c r="X155" s="162">
        <f t="shared" si="62"/>
        <v>0</v>
      </c>
      <c r="Y155" s="162"/>
      <c r="Z155" s="162"/>
      <c r="AA155" s="162"/>
      <c r="AB155" s="162">
        <f t="shared" si="63"/>
        <v>0</v>
      </c>
      <c r="AC155" s="162">
        <f t="shared" si="64"/>
        <v>0</v>
      </c>
      <c r="AD155" s="162">
        <f t="shared" si="65"/>
        <v>0</v>
      </c>
      <c r="AE155" s="162"/>
      <c r="AF155" s="195">
        <v>2175</v>
      </c>
      <c r="AG155" s="195"/>
      <c r="AH155" s="167" t="e">
        <f>#REF!</f>
        <v>#REF!</v>
      </c>
    </row>
    <row r="156" spans="1:34" ht="15.75" hidden="1">
      <c r="A156" s="189"/>
      <c r="B156" s="175" t="s">
        <v>182</v>
      </c>
      <c r="C156" s="176" t="s">
        <v>249</v>
      </c>
      <c r="D156" s="162"/>
      <c r="E156" s="195">
        <v>2800</v>
      </c>
      <c r="F156" s="162"/>
      <c r="G156" s="162"/>
      <c r="H156" s="162">
        <f t="shared" si="55"/>
        <v>0</v>
      </c>
      <c r="I156" s="162"/>
      <c r="J156" s="162"/>
      <c r="K156" s="162">
        <f t="shared" si="56"/>
        <v>0</v>
      </c>
      <c r="L156" s="162">
        <f t="shared" si="57"/>
        <v>0</v>
      </c>
      <c r="M156" s="162">
        <f t="shared" si="58"/>
        <v>0</v>
      </c>
      <c r="N156" s="162">
        <f t="shared" si="59"/>
        <v>0</v>
      </c>
      <c r="O156" s="162">
        <f>E156</f>
        <v>2800</v>
      </c>
      <c r="P156" s="162"/>
      <c r="Q156" s="162"/>
      <c r="R156" s="162"/>
      <c r="S156" s="162"/>
      <c r="T156" s="162"/>
      <c r="U156" s="205"/>
      <c r="V156" s="162">
        <f t="shared" si="60"/>
        <v>0</v>
      </c>
      <c r="W156" s="162">
        <f t="shared" si="61"/>
        <v>0</v>
      </c>
      <c r="X156" s="162">
        <f t="shared" si="62"/>
        <v>0</v>
      </c>
      <c r="Y156" s="162"/>
      <c r="Z156" s="162"/>
      <c r="AA156" s="162"/>
      <c r="AB156" s="162">
        <f t="shared" si="63"/>
        <v>0</v>
      </c>
      <c r="AC156" s="162">
        <f t="shared" si="64"/>
        <v>0</v>
      </c>
      <c r="AD156" s="162">
        <f t="shared" si="65"/>
        <v>0</v>
      </c>
      <c r="AE156" s="162"/>
      <c r="AF156" s="195">
        <v>2800</v>
      </c>
      <c r="AG156" s="195"/>
      <c r="AH156" s="167" t="e">
        <f>#REF!</f>
        <v>#REF!</v>
      </c>
    </row>
    <row r="157" spans="1:34" ht="15.75" hidden="1">
      <c r="A157" s="189"/>
      <c r="B157" s="175" t="s">
        <v>183</v>
      </c>
      <c r="C157" s="176" t="s">
        <v>249</v>
      </c>
      <c r="D157" s="162"/>
      <c r="E157" s="195">
        <v>3300</v>
      </c>
      <c r="F157" s="162"/>
      <c r="G157" s="162"/>
      <c r="H157" s="162">
        <f t="shared" si="55"/>
        <v>0</v>
      </c>
      <c r="I157" s="162"/>
      <c r="J157" s="162"/>
      <c r="K157" s="162">
        <f t="shared" si="56"/>
        <v>0</v>
      </c>
      <c r="L157" s="162">
        <f t="shared" si="57"/>
        <v>0</v>
      </c>
      <c r="M157" s="162">
        <f t="shared" si="58"/>
        <v>0</v>
      </c>
      <c r="N157" s="162">
        <f t="shared" si="59"/>
        <v>0</v>
      </c>
      <c r="O157" s="162">
        <f>E157</f>
        <v>3300</v>
      </c>
      <c r="P157" s="162"/>
      <c r="Q157" s="162"/>
      <c r="R157" s="162"/>
      <c r="S157" s="162"/>
      <c r="T157" s="162"/>
      <c r="U157" s="205"/>
      <c r="V157" s="162">
        <f t="shared" si="60"/>
        <v>0</v>
      </c>
      <c r="W157" s="162">
        <f t="shared" si="61"/>
        <v>0</v>
      </c>
      <c r="X157" s="162">
        <f t="shared" si="62"/>
        <v>0</v>
      </c>
      <c r="Y157" s="162"/>
      <c r="Z157" s="162"/>
      <c r="AA157" s="162"/>
      <c r="AB157" s="162">
        <f t="shared" si="63"/>
        <v>0</v>
      </c>
      <c r="AC157" s="162">
        <f t="shared" si="64"/>
        <v>0</v>
      </c>
      <c r="AD157" s="162">
        <f t="shared" si="65"/>
        <v>0</v>
      </c>
      <c r="AE157" s="162"/>
      <c r="AF157" s="195">
        <v>3300</v>
      </c>
      <c r="AG157" s="195"/>
      <c r="AH157" s="167" t="e">
        <f>#REF!</f>
        <v>#REF!</v>
      </c>
    </row>
    <row r="158" spans="1:34" ht="15.75" hidden="1">
      <c r="A158" s="189"/>
      <c r="B158" s="175" t="s">
        <v>184</v>
      </c>
      <c r="C158" s="176" t="s">
        <v>249</v>
      </c>
      <c r="D158" s="162"/>
      <c r="E158" s="195">
        <v>35000</v>
      </c>
      <c r="F158" s="162"/>
      <c r="G158" s="162"/>
      <c r="H158" s="162">
        <f t="shared" si="55"/>
        <v>0</v>
      </c>
      <c r="I158" s="162"/>
      <c r="J158" s="162"/>
      <c r="K158" s="162">
        <f t="shared" si="56"/>
        <v>0</v>
      </c>
      <c r="L158" s="162">
        <f t="shared" si="57"/>
        <v>0</v>
      </c>
      <c r="M158" s="162">
        <f t="shared" si="58"/>
        <v>0</v>
      </c>
      <c r="N158" s="162">
        <f t="shared" si="59"/>
        <v>0</v>
      </c>
      <c r="O158" s="162">
        <f>E158</f>
        <v>35000</v>
      </c>
      <c r="P158" s="162"/>
      <c r="Q158" s="162"/>
      <c r="R158" s="162"/>
      <c r="S158" s="162"/>
      <c r="T158" s="162"/>
      <c r="U158" s="205"/>
      <c r="V158" s="162">
        <f t="shared" si="60"/>
        <v>0</v>
      </c>
      <c r="W158" s="162">
        <f t="shared" si="61"/>
        <v>0</v>
      </c>
      <c r="X158" s="162">
        <f t="shared" si="62"/>
        <v>0</v>
      </c>
      <c r="Y158" s="162"/>
      <c r="Z158" s="162"/>
      <c r="AA158" s="162"/>
      <c r="AB158" s="162">
        <f t="shared" si="63"/>
        <v>0</v>
      </c>
      <c r="AC158" s="162">
        <f t="shared" si="64"/>
        <v>0</v>
      </c>
      <c r="AD158" s="162">
        <f t="shared" si="65"/>
        <v>0</v>
      </c>
      <c r="AE158" s="162"/>
      <c r="AF158" s="195">
        <v>35000</v>
      </c>
      <c r="AG158" s="195"/>
      <c r="AH158" s="167" t="e">
        <f>#REF!</f>
        <v>#REF!</v>
      </c>
    </row>
    <row r="159" spans="1:34" ht="15.75" hidden="1">
      <c r="A159" s="189"/>
      <c r="B159" s="175" t="s">
        <v>185</v>
      </c>
      <c r="C159" s="176" t="s">
        <v>249</v>
      </c>
      <c r="D159" s="162"/>
      <c r="E159" s="195">
        <v>10420</v>
      </c>
      <c r="F159" s="162"/>
      <c r="G159" s="162"/>
      <c r="H159" s="162">
        <f t="shared" si="55"/>
        <v>0</v>
      </c>
      <c r="I159" s="162"/>
      <c r="J159" s="162"/>
      <c r="K159" s="162">
        <f t="shared" si="56"/>
        <v>0</v>
      </c>
      <c r="L159" s="162">
        <f t="shared" si="57"/>
        <v>0</v>
      </c>
      <c r="M159" s="162">
        <f t="shared" si="58"/>
        <v>0</v>
      </c>
      <c r="N159" s="162">
        <f t="shared" si="59"/>
        <v>0</v>
      </c>
      <c r="O159" s="162">
        <v>10937.5</v>
      </c>
      <c r="P159" s="162"/>
      <c r="Q159" s="162"/>
      <c r="R159" s="162"/>
      <c r="S159" s="162"/>
      <c r="T159" s="162"/>
      <c r="U159" s="205"/>
      <c r="V159" s="162">
        <f t="shared" si="60"/>
        <v>0</v>
      </c>
      <c r="W159" s="162">
        <f t="shared" si="61"/>
        <v>0</v>
      </c>
      <c r="X159" s="162">
        <f t="shared" si="62"/>
        <v>0</v>
      </c>
      <c r="Y159" s="162"/>
      <c r="Z159" s="162"/>
      <c r="AA159" s="162"/>
      <c r="AB159" s="162">
        <f t="shared" si="63"/>
        <v>0</v>
      </c>
      <c r="AC159" s="162">
        <f t="shared" si="64"/>
        <v>0</v>
      </c>
      <c r="AD159" s="162">
        <f t="shared" si="65"/>
        <v>0</v>
      </c>
      <c r="AE159" s="162"/>
      <c r="AF159" s="195">
        <v>10420</v>
      </c>
      <c r="AG159" s="195"/>
      <c r="AH159" s="167" t="e">
        <f>#REF!</f>
        <v>#REF!</v>
      </c>
    </row>
    <row r="160" spans="1:34" ht="15.75" hidden="1">
      <c r="A160" s="189"/>
      <c r="B160" s="175" t="s">
        <v>186</v>
      </c>
      <c r="C160" s="176" t="s">
        <v>249</v>
      </c>
      <c r="D160" s="162"/>
      <c r="E160" s="195">
        <v>15650</v>
      </c>
      <c r="F160" s="162"/>
      <c r="G160" s="162"/>
      <c r="H160" s="162">
        <f t="shared" si="55"/>
        <v>0</v>
      </c>
      <c r="I160" s="162"/>
      <c r="J160" s="162"/>
      <c r="K160" s="162">
        <f t="shared" si="56"/>
        <v>0</v>
      </c>
      <c r="L160" s="162">
        <f t="shared" si="57"/>
        <v>0</v>
      </c>
      <c r="M160" s="162">
        <f t="shared" si="58"/>
        <v>0</v>
      </c>
      <c r="N160" s="162">
        <f t="shared" si="59"/>
        <v>0</v>
      </c>
      <c r="O160" s="162">
        <f>E160</f>
        <v>15650</v>
      </c>
      <c r="P160" s="162"/>
      <c r="Q160" s="162"/>
      <c r="R160" s="162"/>
      <c r="S160" s="162"/>
      <c r="T160" s="162"/>
      <c r="U160" s="205"/>
      <c r="V160" s="162">
        <f t="shared" si="60"/>
        <v>0</v>
      </c>
      <c r="W160" s="162">
        <f t="shared" si="61"/>
        <v>0</v>
      </c>
      <c r="X160" s="162">
        <f t="shared" si="62"/>
        <v>0</v>
      </c>
      <c r="Y160" s="162"/>
      <c r="Z160" s="162"/>
      <c r="AA160" s="162"/>
      <c r="AB160" s="162">
        <f t="shared" si="63"/>
        <v>0</v>
      </c>
      <c r="AC160" s="162">
        <f t="shared" si="64"/>
        <v>0</v>
      </c>
      <c r="AD160" s="162">
        <f t="shared" si="65"/>
        <v>0</v>
      </c>
      <c r="AE160" s="162"/>
      <c r="AF160" s="195">
        <v>15650</v>
      </c>
      <c r="AG160" s="195"/>
      <c r="AH160" s="167" t="e">
        <f>#REF!</f>
        <v>#REF!</v>
      </c>
    </row>
    <row r="161" spans="1:34" ht="15.75" hidden="1">
      <c r="A161" s="189"/>
      <c r="B161" s="175" t="s">
        <v>187</v>
      </c>
      <c r="C161" s="176" t="s">
        <v>249</v>
      </c>
      <c r="D161" s="162"/>
      <c r="E161" s="195">
        <v>12847</v>
      </c>
      <c r="F161" s="162"/>
      <c r="G161" s="162"/>
      <c r="H161" s="162">
        <f t="shared" si="55"/>
        <v>0</v>
      </c>
      <c r="I161" s="162"/>
      <c r="J161" s="162"/>
      <c r="K161" s="162">
        <f t="shared" si="56"/>
        <v>0</v>
      </c>
      <c r="L161" s="162">
        <f t="shared" si="57"/>
        <v>0</v>
      </c>
      <c r="M161" s="162">
        <f t="shared" si="58"/>
        <v>0</v>
      </c>
      <c r="N161" s="162">
        <f t="shared" si="59"/>
        <v>0</v>
      </c>
      <c r="O161" s="162">
        <f>E161</f>
        <v>12847</v>
      </c>
      <c r="P161" s="162"/>
      <c r="Q161" s="162"/>
      <c r="R161" s="162"/>
      <c r="S161" s="162"/>
      <c r="T161" s="162"/>
      <c r="U161" s="205"/>
      <c r="V161" s="162">
        <f t="shared" si="60"/>
        <v>0</v>
      </c>
      <c r="W161" s="162">
        <f t="shared" si="61"/>
        <v>0</v>
      </c>
      <c r="X161" s="162">
        <f t="shared" si="62"/>
        <v>0</v>
      </c>
      <c r="Y161" s="162"/>
      <c r="Z161" s="162"/>
      <c r="AA161" s="162"/>
      <c r="AB161" s="162">
        <f t="shared" si="63"/>
        <v>0</v>
      </c>
      <c r="AC161" s="162">
        <f t="shared" si="64"/>
        <v>0</v>
      </c>
      <c r="AD161" s="162">
        <f t="shared" si="65"/>
        <v>0</v>
      </c>
      <c r="AE161" s="162"/>
      <c r="AF161" s="195">
        <v>12847</v>
      </c>
      <c r="AG161" s="195"/>
      <c r="AH161" s="167" t="e">
        <f>#REF!</f>
        <v>#REF!</v>
      </c>
    </row>
    <row r="162" spans="1:34" ht="15.75" hidden="1">
      <c r="A162" s="189"/>
      <c r="B162" s="175" t="s">
        <v>188</v>
      </c>
      <c r="C162" s="176" t="s">
        <v>249</v>
      </c>
      <c r="D162" s="162"/>
      <c r="E162" s="169"/>
      <c r="F162" s="162" t="e">
        <f>('[2]План закупа'!H1974+'[2]План закупа'!H1987)/1000</f>
        <v>#REF!</v>
      </c>
      <c r="G162" s="162"/>
      <c r="H162" s="162" t="e">
        <f t="shared" si="55"/>
        <v>#REF!</v>
      </c>
      <c r="I162" s="162" t="e">
        <f>('[2]План закупа'!J1974+'[2]План закупа'!J1987)/1000</f>
        <v>#REF!</v>
      </c>
      <c r="J162" s="162"/>
      <c r="K162" s="162" t="e">
        <f t="shared" si="56"/>
        <v>#REF!</v>
      </c>
      <c r="L162" s="162" t="e">
        <f t="shared" si="57"/>
        <v>#REF!</v>
      </c>
      <c r="M162" s="162">
        <f t="shared" si="58"/>
        <v>0</v>
      </c>
      <c r="N162" s="162" t="e">
        <f t="shared" si="59"/>
        <v>#REF!</v>
      </c>
      <c r="O162" s="162" t="e">
        <f>('[2]План закупа'!L1974+'[2]План закупа'!L1987)/1000</f>
        <v>#REF!</v>
      </c>
      <c r="P162" s="162"/>
      <c r="Q162" s="162"/>
      <c r="R162" s="162"/>
      <c r="S162" s="162"/>
      <c r="T162" s="162" t="e">
        <f>('[2]План закупа'!N1974+'[2]План закупа'!N1987)/1000</f>
        <v>#REF!</v>
      </c>
      <c r="U162" s="205"/>
      <c r="V162" s="162" t="e">
        <f t="shared" si="60"/>
        <v>#REF!</v>
      </c>
      <c r="W162" s="162">
        <f t="shared" si="61"/>
        <v>0</v>
      </c>
      <c r="X162" s="162" t="e">
        <f t="shared" si="62"/>
        <v>#REF!</v>
      </c>
      <c r="Y162" s="162" t="e">
        <f>('[2]План закупа'!P1974+'[2]План закупа'!P1987)/1000</f>
        <v>#REF!</v>
      </c>
      <c r="Z162" s="162"/>
      <c r="AA162" s="162"/>
      <c r="AB162" s="162" t="e">
        <f t="shared" si="63"/>
        <v>#REF!</v>
      </c>
      <c r="AC162" s="162">
        <f t="shared" si="64"/>
        <v>0</v>
      </c>
      <c r="AD162" s="162" t="e">
        <f t="shared" si="65"/>
        <v>#REF!</v>
      </c>
      <c r="AE162" s="162"/>
      <c r="AF162" s="169"/>
      <c r="AG162" s="169"/>
      <c r="AH162" s="167" t="e">
        <f>AF162-#REF!</f>
        <v>#REF!</v>
      </c>
    </row>
    <row r="163" spans="1:34" ht="15.75" hidden="1">
      <c r="A163" s="189"/>
      <c r="B163" s="175" t="s">
        <v>189</v>
      </c>
      <c r="C163" s="176" t="s">
        <v>249</v>
      </c>
      <c r="D163" s="162"/>
      <c r="E163" s="169"/>
      <c r="F163" s="162">
        <v>1150.864</v>
      </c>
      <c r="G163" s="162"/>
      <c r="H163" s="162">
        <f t="shared" si="55"/>
        <v>-1150.864</v>
      </c>
      <c r="I163" s="162">
        <v>2827.44</v>
      </c>
      <c r="J163" s="162"/>
      <c r="K163" s="162">
        <f t="shared" si="56"/>
        <v>-2827.44</v>
      </c>
      <c r="L163" s="162">
        <f t="shared" si="57"/>
        <v>3978.304</v>
      </c>
      <c r="M163" s="162">
        <f t="shared" si="58"/>
        <v>0</v>
      </c>
      <c r="N163" s="162">
        <f t="shared" si="59"/>
        <v>-3978.304</v>
      </c>
      <c r="O163" s="162">
        <v>2170.95</v>
      </c>
      <c r="P163" s="162"/>
      <c r="Q163" s="162"/>
      <c r="R163" s="162"/>
      <c r="S163" s="162"/>
      <c r="T163" s="162">
        <v>2660.9</v>
      </c>
      <c r="U163" s="205"/>
      <c r="V163" s="162">
        <f t="shared" si="60"/>
        <v>2660.9</v>
      </c>
      <c r="W163" s="162">
        <f t="shared" si="61"/>
        <v>0</v>
      </c>
      <c r="X163" s="162">
        <f t="shared" si="62"/>
        <v>-2660.9</v>
      </c>
      <c r="Y163" s="162">
        <v>455.05</v>
      </c>
      <c r="Z163" s="162"/>
      <c r="AA163" s="162"/>
      <c r="AB163" s="162">
        <f t="shared" si="63"/>
        <v>3115.9500000000003</v>
      </c>
      <c r="AC163" s="162">
        <f t="shared" si="64"/>
        <v>0</v>
      </c>
      <c r="AD163" s="162">
        <f t="shared" si="65"/>
        <v>-3115.9500000000003</v>
      </c>
      <c r="AE163" s="162"/>
      <c r="AF163" s="169"/>
      <c r="AG163" s="169"/>
      <c r="AH163" s="167"/>
    </row>
    <row r="164" spans="1:34" ht="15.75" hidden="1">
      <c r="A164" s="171"/>
      <c r="B164" s="175" t="s">
        <v>190</v>
      </c>
      <c r="C164" s="176" t="s">
        <v>249</v>
      </c>
      <c r="D164" s="162"/>
      <c r="E164" s="158"/>
      <c r="F164" s="162"/>
      <c r="G164" s="162"/>
      <c r="H164" s="162">
        <f t="shared" si="55"/>
        <v>0</v>
      </c>
      <c r="I164" s="162"/>
      <c r="J164" s="162"/>
      <c r="K164" s="162">
        <f t="shared" si="56"/>
        <v>0</v>
      </c>
      <c r="L164" s="162">
        <f t="shared" si="57"/>
        <v>0</v>
      </c>
      <c r="M164" s="162">
        <f t="shared" si="58"/>
        <v>0</v>
      </c>
      <c r="N164" s="162">
        <f t="shared" si="59"/>
        <v>0</v>
      </c>
      <c r="O164" s="162">
        <f>447.76/2</f>
        <v>223.88</v>
      </c>
      <c r="P164" s="162"/>
      <c r="Q164" s="162"/>
      <c r="R164" s="162"/>
      <c r="S164" s="162"/>
      <c r="T164" s="162">
        <f>O164</f>
        <v>223.88</v>
      </c>
      <c r="U164" s="205"/>
      <c r="V164" s="162">
        <f t="shared" si="60"/>
        <v>223.88</v>
      </c>
      <c r="W164" s="162">
        <f t="shared" si="61"/>
        <v>0</v>
      </c>
      <c r="X164" s="162">
        <f t="shared" si="62"/>
        <v>-223.88</v>
      </c>
      <c r="Y164" s="162"/>
      <c r="Z164" s="162"/>
      <c r="AA164" s="162"/>
      <c r="AB164" s="162">
        <f t="shared" si="63"/>
        <v>223.88</v>
      </c>
      <c r="AC164" s="162">
        <f t="shared" si="64"/>
        <v>0</v>
      </c>
      <c r="AD164" s="162">
        <f t="shared" si="65"/>
        <v>-223.88</v>
      </c>
      <c r="AE164" s="162"/>
      <c r="AF164" s="158"/>
      <c r="AG164" s="158"/>
      <c r="AH164" s="167" t="e">
        <f>#REF!-AF164</f>
        <v>#REF!</v>
      </c>
    </row>
    <row r="165" spans="1:34" ht="15.75" hidden="1">
      <c r="A165" s="171"/>
      <c r="B165" s="175" t="s">
        <v>191</v>
      </c>
      <c r="C165" s="176" t="s">
        <v>249</v>
      </c>
      <c r="D165" s="162"/>
      <c r="E165" s="158"/>
      <c r="F165" s="162"/>
      <c r="G165" s="162"/>
      <c r="H165" s="162">
        <f t="shared" si="55"/>
        <v>0</v>
      </c>
      <c r="I165" s="162"/>
      <c r="J165" s="162"/>
      <c r="K165" s="162">
        <f t="shared" si="56"/>
        <v>0</v>
      </c>
      <c r="L165" s="162">
        <f t="shared" si="57"/>
        <v>0</v>
      </c>
      <c r="M165" s="162">
        <f t="shared" si="58"/>
        <v>0</v>
      </c>
      <c r="N165" s="162">
        <f t="shared" si="59"/>
        <v>0</v>
      </c>
      <c r="O165" s="162">
        <v>1392.2905</v>
      </c>
      <c r="P165" s="162"/>
      <c r="Q165" s="162"/>
      <c r="R165" s="162"/>
      <c r="S165" s="162"/>
      <c r="T165" s="162">
        <v>1392.2905</v>
      </c>
      <c r="U165" s="205"/>
      <c r="V165" s="162">
        <f t="shared" si="60"/>
        <v>1392.2905</v>
      </c>
      <c r="W165" s="162">
        <f t="shared" si="61"/>
        <v>0</v>
      </c>
      <c r="X165" s="162">
        <f t="shared" si="62"/>
        <v>-1392.2905</v>
      </c>
      <c r="Y165" s="162"/>
      <c r="Z165" s="162"/>
      <c r="AA165" s="162"/>
      <c r="AB165" s="162">
        <f t="shared" si="63"/>
        <v>1392.2905</v>
      </c>
      <c r="AC165" s="162">
        <f t="shared" si="64"/>
        <v>0</v>
      </c>
      <c r="AD165" s="162">
        <f t="shared" si="65"/>
        <v>-1392.2905</v>
      </c>
      <c r="AE165" s="162"/>
      <c r="AF165" s="158"/>
      <c r="AG165" s="158"/>
      <c r="AH165" s="167" t="e">
        <f>#REF!-AF165</f>
        <v>#REF!</v>
      </c>
    </row>
    <row r="166" spans="1:34" s="154" customFormat="1" ht="15.75" hidden="1">
      <c r="A166" s="171" t="s">
        <v>398</v>
      </c>
      <c r="B166" s="179" t="s">
        <v>192</v>
      </c>
      <c r="C166" s="160" t="s">
        <v>249</v>
      </c>
      <c r="D166" s="161"/>
      <c r="E166" s="161" t="e">
        <f>E21+E94+#REF!+#REF!</f>
        <v>#REF!</v>
      </c>
      <c r="F166" s="161" t="e">
        <f>F21+F94+#REF!+#REF!</f>
        <v>#REF!</v>
      </c>
      <c r="G166" s="161"/>
      <c r="H166" s="162" t="e">
        <f t="shared" si="55"/>
        <v>#REF!</v>
      </c>
      <c r="I166" s="161" t="e">
        <f>I21+I94+#REF!+#REF!</f>
        <v>#REF!</v>
      </c>
      <c r="J166" s="161"/>
      <c r="K166" s="162" t="e">
        <f t="shared" si="56"/>
        <v>#REF!</v>
      </c>
      <c r="L166" s="162" t="e">
        <f t="shared" si="57"/>
        <v>#REF!</v>
      </c>
      <c r="M166" s="162">
        <f t="shared" si="58"/>
        <v>0</v>
      </c>
      <c r="N166" s="162" t="e">
        <f t="shared" si="59"/>
        <v>#REF!</v>
      </c>
      <c r="O166" s="161" t="e">
        <f>O21+O94+#REF!+#REF!</f>
        <v>#REF!</v>
      </c>
      <c r="P166" s="161"/>
      <c r="Q166" s="161"/>
      <c r="R166" s="161"/>
      <c r="S166" s="161"/>
      <c r="T166" s="161" t="e">
        <f>T21+T94+#REF!+#REF!</f>
        <v>#REF!</v>
      </c>
      <c r="U166" s="204"/>
      <c r="V166" s="162" t="e">
        <f t="shared" si="60"/>
        <v>#REF!</v>
      </c>
      <c r="W166" s="162">
        <f t="shared" si="61"/>
        <v>0</v>
      </c>
      <c r="X166" s="162" t="e">
        <f t="shared" si="62"/>
        <v>#REF!</v>
      </c>
      <c r="Y166" s="161" t="e">
        <f>Y21+Y94+#REF!+#REF!</f>
        <v>#REF!</v>
      </c>
      <c r="Z166" s="161"/>
      <c r="AA166" s="161"/>
      <c r="AB166" s="162" t="e">
        <f t="shared" si="63"/>
        <v>#REF!</v>
      </c>
      <c r="AC166" s="162">
        <f t="shared" si="64"/>
        <v>0</v>
      </c>
      <c r="AD166" s="162" t="e">
        <f t="shared" si="65"/>
        <v>#REF!</v>
      </c>
      <c r="AE166" s="161" t="e">
        <f>AE21+AE94+#REF!+#REF!</f>
        <v>#REF!</v>
      </c>
      <c r="AF166" s="161" t="e">
        <f>AF21+AF94+#REF!+#REF!</f>
        <v>#REF!</v>
      </c>
      <c r="AG166" s="161"/>
      <c r="AH166" s="161" t="e">
        <f>#REF!-AF166</f>
        <v>#REF!</v>
      </c>
    </row>
    <row r="167" spans="1:34" s="154" customFormat="1" ht="31.5" hidden="1">
      <c r="A167" s="171"/>
      <c r="B167" s="179" t="s">
        <v>193</v>
      </c>
      <c r="C167" s="160" t="s">
        <v>249</v>
      </c>
      <c r="D167" s="161"/>
      <c r="E167" s="161"/>
      <c r="F167" s="161" t="e">
        <f>F166</f>
        <v>#REF!</v>
      </c>
      <c r="G167" s="161"/>
      <c r="H167" s="162" t="e">
        <f t="shared" si="55"/>
        <v>#REF!</v>
      </c>
      <c r="I167" s="161" t="e">
        <f>F167+I166</f>
        <v>#REF!</v>
      </c>
      <c r="J167" s="161"/>
      <c r="K167" s="161"/>
      <c r="L167" s="161"/>
      <c r="M167" s="161"/>
      <c r="N167" s="161"/>
      <c r="O167" s="161" t="e">
        <f>I167+O166</f>
        <v>#REF!</v>
      </c>
      <c r="P167" s="161"/>
      <c r="Q167" s="161"/>
      <c r="R167" s="161"/>
      <c r="S167" s="161"/>
      <c r="T167" s="161" t="e">
        <f>O167+T166</f>
        <v>#REF!</v>
      </c>
      <c r="U167" s="204"/>
      <c r="V167" s="162" t="e">
        <f t="shared" si="60"/>
        <v>#REF!</v>
      </c>
      <c r="W167" s="162">
        <f t="shared" si="61"/>
        <v>0</v>
      </c>
      <c r="X167" s="162" t="e">
        <f t="shared" si="62"/>
        <v>#REF!</v>
      </c>
      <c r="Y167" s="161" t="e">
        <f>T167+Y166</f>
        <v>#REF!</v>
      </c>
      <c r="Z167" s="161"/>
      <c r="AA167" s="161"/>
      <c r="AB167" s="162" t="e">
        <f t="shared" si="63"/>
        <v>#REF!</v>
      </c>
      <c r="AC167" s="162">
        <f t="shared" si="64"/>
        <v>0</v>
      </c>
      <c r="AD167" s="162" t="e">
        <f t="shared" si="65"/>
        <v>#REF!</v>
      </c>
      <c r="AE167" s="161" t="e">
        <f>Y167+AE166</f>
        <v>#REF!</v>
      </c>
      <c r="AF167" s="161"/>
      <c r="AG167" s="161"/>
      <c r="AH167" s="167" t="e">
        <f>AF167-#REF!</f>
        <v>#REF!</v>
      </c>
    </row>
    <row r="168" spans="1:34" s="154" customFormat="1" ht="15.75" hidden="1">
      <c r="A168" s="171"/>
      <c r="B168" s="179"/>
      <c r="C168" s="160"/>
      <c r="D168" s="161"/>
      <c r="E168" s="161"/>
      <c r="F168" s="161" t="e">
        <f>F133</f>
        <v>#REF!</v>
      </c>
      <c r="G168" s="161"/>
      <c r="H168" s="162" t="e">
        <f t="shared" si="55"/>
        <v>#REF!</v>
      </c>
      <c r="I168" s="161" t="e">
        <f>F168+I133</f>
        <v>#REF!</v>
      </c>
      <c r="J168" s="161"/>
      <c r="K168" s="161"/>
      <c r="L168" s="161"/>
      <c r="M168" s="161"/>
      <c r="N168" s="161"/>
      <c r="O168" s="161" t="e">
        <f>I168+O133</f>
        <v>#REF!</v>
      </c>
      <c r="P168" s="161"/>
      <c r="Q168" s="161"/>
      <c r="R168" s="161"/>
      <c r="S168" s="161"/>
      <c r="T168" s="161" t="e">
        <f>O168+T133</f>
        <v>#REF!</v>
      </c>
      <c r="U168" s="204"/>
      <c r="V168" s="162" t="e">
        <f t="shared" si="60"/>
        <v>#REF!</v>
      </c>
      <c r="W168" s="162">
        <f t="shared" si="61"/>
        <v>0</v>
      </c>
      <c r="X168" s="162" t="e">
        <f t="shared" si="62"/>
        <v>#REF!</v>
      </c>
      <c r="Y168" s="161" t="e">
        <f>T168+Y133</f>
        <v>#REF!</v>
      </c>
      <c r="Z168" s="161"/>
      <c r="AA168" s="161"/>
      <c r="AB168" s="162" t="e">
        <f t="shared" si="63"/>
        <v>#REF!</v>
      </c>
      <c r="AC168" s="162">
        <f t="shared" si="64"/>
        <v>0</v>
      </c>
      <c r="AD168" s="162" t="e">
        <f t="shared" si="65"/>
        <v>#REF!</v>
      </c>
      <c r="AE168" s="161" t="e">
        <f>Y168+AE133</f>
        <v>#REF!</v>
      </c>
      <c r="AF168" s="161"/>
      <c r="AG168" s="161"/>
      <c r="AH168" s="167" t="e">
        <f>AF168-#REF!</f>
        <v>#REF!</v>
      </c>
    </row>
    <row r="169" spans="1:34" s="154" customFormat="1" ht="15.75">
      <c r="A169" s="232"/>
      <c r="B169" s="233"/>
      <c r="C169" s="234"/>
      <c r="D169" s="235"/>
      <c r="E169" s="235"/>
      <c r="F169" s="235"/>
      <c r="G169" s="235"/>
      <c r="H169" s="236"/>
      <c r="I169" s="235"/>
      <c r="J169" s="235"/>
      <c r="K169" s="235"/>
      <c r="L169" s="235"/>
      <c r="M169" s="235"/>
      <c r="N169" s="235"/>
      <c r="O169" s="235"/>
      <c r="P169" s="235"/>
      <c r="Q169" s="235"/>
      <c r="R169" s="235"/>
      <c r="S169" s="235"/>
      <c r="T169" s="235"/>
      <c r="U169" s="237"/>
      <c r="V169" s="236"/>
      <c r="W169" s="236"/>
      <c r="X169" s="236"/>
      <c r="Y169" s="235"/>
      <c r="Z169" s="235"/>
      <c r="AA169" s="235"/>
      <c r="AB169" s="236"/>
      <c r="AC169" s="236"/>
      <c r="AD169" s="236"/>
      <c r="AE169" s="235"/>
      <c r="AF169" s="235"/>
      <c r="AG169" s="235"/>
      <c r="AH169" s="238"/>
    </row>
    <row r="170" ht="15.75">
      <c r="B170" s="214"/>
    </row>
    <row r="171" spans="2:24" ht="30.75" customHeight="1">
      <c r="B171" s="248"/>
      <c r="C171" s="248"/>
      <c r="D171" s="248"/>
      <c r="E171" s="248"/>
      <c r="F171" s="248"/>
      <c r="G171" s="248"/>
      <c r="P171" s="248"/>
      <c r="Q171" s="248"/>
      <c r="R171" s="248"/>
      <c r="W171" s="248"/>
      <c r="X171" s="248"/>
    </row>
  </sheetData>
  <sheetProtection/>
  <mergeCells count="27">
    <mergeCell ref="AI9:AI19"/>
    <mergeCell ref="AI23:AI116"/>
    <mergeCell ref="AI117:AI118"/>
    <mergeCell ref="AF5:AF6"/>
    <mergeCell ref="AG5:AG6"/>
    <mergeCell ref="A1:AI1"/>
    <mergeCell ref="A3:AI3"/>
    <mergeCell ref="A2:AI2"/>
    <mergeCell ref="A4:AI4"/>
    <mergeCell ref="AH5:AH6"/>
    <mergeCell ref="AI5:AI6"/>
    <mergeCell ref="I5:K5"/>
    <mergeCell ref="L5:N5"/>
    <mergeCell ref="O5:P5"/>
    <mergeCell ref="Q5:S5"/>
    <mergeCell ref="V5:X5"/>
    <mergeCell ref="Y5:AA5"/>
    <mergeCell ref="AE5:AE6"/>
    <mergeCell ref="A5:A6"/>
    <mergeCell ref="P171:R171"/>
    <mergeCell ref="F5:H5"/>
    <mergeCell ref="B171:G171"/>
    <mergeCell ref="W171:X171"/>
    <mergeCell ref="AB5:AD5"/>
    <mergeCell ref="B5:B6"/>
    <mergeCell ref="C5:C6"/>
    <mergeCell ref="T5:U5"/>
  </mergeCells>
  <printOptions horizontalCentered="1"/>
  <pageMargins left="0.2362204724409449" right="0.15748031496062992" top="0.5905511811023623" bottom="0.2362204724409449" header="0.4330708661417323" footer="0.35433070866141736"/>
  <pageSetup fitToHeight="4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LMalceva</dc:creator>
  <cp:keywords/>
  <dc:description/>
  <cp:lastModifiedBy>ADolya</cp:lastModifiedBy>
  <cp:lastPrinted>2017-06-14T09:59:37Z</cp:lastPrinted>
  <dcterms:created xsi:type="dcterms:W3CDTF">2012-09-07T07:00:57Z</dcterms:created>
  <dcterms:modified xsi:type="dcterms:W3CDTF">2017-06-14T10:07:23Z</dcterms:modified>
  <cp:category/>
  <cp:version/>
  <cp:contentType/>
  <cp:contentStatus/>
</cp:coreProperties>
</file>