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25" windowWidth="14940" windowHeight="7635" firstSheet="1" activeTab="2"/>
  </bookViews>
  <sheets>
    <sheet name="Бюджет" sheetId="1" r:id="rId1"/>
    <sheet name="Инвестпрограмма" sheetId="2" r:id="rId2"/>
    <sheet name="Показатели надежности" sheetId="3" r:id="rId3"/>
  </sheets>
  <externalReferences>
    <externalReference r:id="rId6"/>
  </externalReferences>
  <definedNames>
    <definedName name="_xlnm.Print_Titles" localSheetId="0">'Бюджет'!$7:$7</definedName>
  </definedNames>
  <calcPr fullCalcOnLoad="1"/>
</workbook>
</file>

<file path=xl/sharedStrings.xml><?xml version="1.0" encoding="utf-8"?>
<sst xmlns="http://schemas.openxmlformats.org/spreadsheetml/2006/main" count="538" uniqueCount="341">
  <si>
    <t>Реконструкция и замена оборудования подстанций</t>
  </si>
  <si>
    <t>Доход от оказываемых услуг по иной деятельности</t>
  </si>
  <si>
    <t>Прочие поступления</t>
  </si>
  <si>
    <t>Дефицит (-), профицит (+)</t>
  </si>
  <si>
    <t>III.</t>
  </si>
  <si>
    <t>РАСХОДЫ всего</t>
  </si>
  <si>
    <t>1.1.</t>
  </si>
  <si>
    <t>1.2.</t>
  </si>
  <si>
    <t>ГСМ</t>
  </si>
  <si>
    <t>1.3.</t>
  </si>
  <si>
    <t>1.4.</t>
  </si>
  <si>
    <t>2.</t>
  </si>
  <si>
    <t>3.</t>
  </si>
  <si>
    <t>вознаграждение</t>
  </si>
  <si>
    <t>нарастающим итогом</t>
  </si>
  <si>
    <t>КПН</t>
  </si>
  <si>
    <t>тепловая энергия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</si>
  <si>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</si>
  <si>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</si>
  <si>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</si>
  <si>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</si>
  <si>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</si>
  <si>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</si>
  <si>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</si>
  <si>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</si>
  <si>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</si>
  <si>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</si>
  <si>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</si>
  <si>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</si>
  <si>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</si>
  <si>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</si>
  <si>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</si>
  <si>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</si>
  <si>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</si>
  <si>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</si>
  <si>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</si>
  <si>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</si>
  <si>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</si>
  <si>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</si>
  <si>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</si>
  <si>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1.40.</t>
  </si>
  <si>
    <t>1.41.</t>
  </si>
  <si>
    <t>1.42.</t>
  </si>
  <si>
    <t>Налоговые платежи, всего</t>
  </si>
  <si>
    <t>Сушильный шкаф низкотемпературный до 350°С (типа SNOL 67/350)</t>
  </si>
  <si>
    <t>Шкаф универсальный вытяжной (типа ШВ)</t>
  </si>
  <si>
    <t>Директор ТОО "Межрегионэнерготранзит"</t>
  </si>
  <si>
    <t>командировочные</t>
  </si>
  <si>
    <t>услуги Подрядчика</t>
  </si>
  <si>
    <t>ТО автотранспорта</t>
  </si>
  <si>
    <t>Аттестация рабочих мест</t>
  </si>
  <si>
    <t>холодная вода</t>
  </si>
  <si>
    <t>вывоз мусора</t>
  </si>
  <si>
    <t>Мед аптечки и медикаменты</t>
  </si>
  <si>
    <t>Медосмотр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</si>
  <si>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</si>
  <si>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</si>
  <si>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</si>
  <si>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</si>
  <si>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</si>
  <si>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</si>
  <si>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</si>
  <si>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</si>
  <si>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</si>
  <si>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</si>
  <si>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</si>
  <si>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VI.</t>
  </si>
  <si>
    <t>VII.</t>
  </si>
  <si>
    <t>ЛЭП-110 Троицк-ГРЭС-Станционная</t>
  </si>
  <si>
    <t>Полуприцеп 1 шт.</t>
  </si>
  <si>
    <t>Проектирование и монтаж пож сигнализации</t>
  </si>
  <si>
    <t>Членский взнос в КЭА</t>
  </si>
  <si>
    <t>Расчет ЭМС</t>
  </si>
  <si>
    <t>Информационные стенды</t>
  </si>
  <si>
    <r>
      <t xml:space="preserve">Сырье и материалы </t>
    </r>
    <r>
      <rPr>
        <sz val="8"/>
        <rFont val="Times New Roman"/>
        <family val="1"/>
      </rPr>
      <t>( экспл, ТМЗ на содержание помещений и за счет прибыли)</t>
    </r>
  </si>
  <si>
    <t>Услуги автотранспорта</t>
  </si>
  <si>
    <t>Отклонение</t>
  </si>
  <si>
    <t>Реконструкция устройств РЗА и коммерческого учета по ВЛ на ПС 220 кВ "Заречная"</t>
  </si>
  <si>
    <t>Замена масляных выключателей 10 кВ на вакуумные с комплектами адаптации на ПС 110кВ "Глубокий ввод"</t>
  </si>
  <si>
    <t>Самотестируемый стенд испытаний СМИ-3</t>
  </si>
  <si>
    <t>IV.</t>
  </si>
  <si>
    <t>V.</t>
  </si>
  <si>
    <t>Замена масляных выключателей 10кВ на вакуумные с комплектами адаптации на ПС 110кВ "Целинная"</t>
  </si>
  <si>
    <t>Восстановление оборудования ЛЭП</t>
  </si>
  <si>
    <t>Пожарные ящики</t>
  </si>
  <si>
    <t>Материальная помощь</t>
  </si>
  <si>
    <t>1.47.</t>
  </si>
  <si>
    <t>1.49.</t>
  </si>
  <si>
    <t>3.2.8.</t>
  </si>
  <si>
    <t>3.2.9.</t>
  </si>
  <si>
    <t>3.2.10.</t>
  </si>
  <si>
    <t>3.2.11.</t>
  </si>
  <si>
    <t>3.2.12.</t>
  </si>
  <si>
    <t>3.2.13.</t>
  </si>
  <si>
    <t>3.2.14.</t>
  </si>
  <si>
    <t>3.2.15.</t>
  </si>
  <si>
    <t>3.2.16.</t>
  </si>
  <si>
    <t>14.</t>
  </si>
  <si>
    <t>15.</t>
  </si>
  <si>
    <t>16.</t>
  </si>
  <si>
    <t>17.</t>
  </si>
  <si>
    <t>18.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</si>
  <si>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</si>
  <si>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</si>
  <si>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</si>
  <si>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</si>
  <si>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</si>
  <si>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</si>
  <si>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</si>
  <si>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</si>
  <si>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Энергия на хозяйственные нужды и для компенсации ТП, услуги по балансировке</t>
  </si>
  <si>
    <t>№ п/п</t>
  </si>
  <si>
    <t>Затраты на оказание услуг по передаче  электрической энергии</t>
  </si>
  <si>
    <t>Ремонт ЗиС</t>
  </si>
  <si>
    <t>Восстановление асфальт покрытия</t>
  </si>
  <si>
    <t>Модернизация оборудования связи в 2015 году</t>
  </si>
  <si>
    <t>с отсрочкой платежа</t>
  </si>
  <si>
    <t>в том числе погашение Кт задолженности</t>
  </si>
  <si>
    <t>Реконструкция ПС Кустанайская в 2015 году</t>
  </si>
  <si>
    <t>Реконструкция ПС Южная в 2015 году</t>
  </si>
  <si>
    <t>км</t>
  </si>
  <si>
    <t>1.39.</t>
  </si>
  <si>
    <t>10.</t>
  </si>
  <si>
    <t>11.</t>
  </si>
  <si>
    <t>13.</t>
  </si>
  <si>
    <t>ПРИХОД денежных средств, всего</t>
  </si>
  <si>
    <t>тыс. тенге</t>
  </si>
  <si>
    <t>в том числе</t>
  </si>
  <si>
    <t>Доход от оказываемых услуг по основной деятельности</t>
  </si>
  <si>
    <t>Шиномонтажные работы</t>
  </si>
  <si>
    <t>шт.</t>
  </si>
  <si>
    <t>янв</t>
  </si>
  <si>
    <t>фев</t>
  </si>
  <si>
    <t>мар</t>
  </si>
  <si>
    <t>апр</t>
  </si>
  <si>
    <t>1.46.</t>
  </si>
  <si>
    <t>1.48.</t>
  </si>
  <si>
    <t>№</t>
  </si>
  <si>
    <t xml:space="preserve">Наименование статей </t>
  </si>
  <si>
    <t>Ед. изм</t>
  </si>
  <si>
    <t>Поставщик услуг</t>
  </si>
  <si>
    <t>Стоимость с НДС</t>
  </si>
  <si>
    <t>Год</t>
  </si>
  <si>
    <t>1.43.</t>
  </si>
  <si>
    <t>1.44.</t>
  </si>
  <si>
    <t>1.45.</t>
  </si>
  <si>
    <t>Заработная плата к выдаче</t>
  </si>
  <si>
    <t>Обязательные пенсионные отчисления</t>
  </si>
  <si>
    <t>Подоходный налог</t>
  </si>
  <si>
    <t>Оплата труда, всего</t>
  </si>
  <si>
    <t>Переплет документов</t>
  </si>
  <si>
    <t>Расходные материалы для вычислительной техники</t>
  </si>
  <si>
    <t>Кол-во</t>
  </si>
  <si>
    <t>Ремонт ОС, не приводящий к увеличению стоимости</t>
  </si>
  <si>
    <t>материалы</t>
  </si>
  <si>
    <t>4.</t>
  </si>
  <si>
    <t>Услуги связи</t>
  </si>
  <si>
    <t>Услуги по переработке электроэнергии тяговыми подстанциями</t>
  </si>
  <si>
    <t>Дератизация</t>
  </si>
  <si>
    <t>Демеркуризация РСЛ</t>
  </si>
  <si>
    <t>Услуги по обслуживанию теплосчетчиков</t>
  </si>
  <si>
    <t xml:space="preserve">Установка У1134 </t>
  </si>
  <si>
    <t>Автоматизированная установка для поверки и регулировки счетчиков типа ЦУ6804</t>
  </si>
  <si>
    <t xml:space="preserve">Киловольтметр высоковольтный (типа СКВ-100) </t>
  </si>
  <si>
    <t>М.А.Мельников</t>
  </si>
  <si>
    <t>19.</t>
  </si>
  <si>
    <t>СОГЛАСОВАНО:</t>
  </si>
  <si>
    <t>Заместитель директора по развитию и маркетингу:</t>
  </si>
  <si>
    <t>_____________________________А.С.Кузнецов</t>
  </si>
  <si>
    <t>______________________Тиесов Н.А.</t>
  </si>
  <si>
    <t>Возврат заемных средств</t>
  </si>
  <si>
    <t>возврат по  займу</t>
  </si>
  <si>
    <t>УТВЕРЖДАЮ:</t>
  </si>
  <si>
    <t>Реконструкция ПС 110/35/10 кВ "Красный партизан" (замена  двух выключателей)</t>
  </si>
  <si>
    <t xml:space="preserve">в том  числе установка поверочная УПВ-1 </t>
  </si>
  <si>
    <t>другие</t>
  </si>
  <si>
    <t>Наименование инвестиций</t>
  </si>
  <si>
    <t>Ед. изм.</t>
  </si>
  <si>
    <t xml:space="preserve">Сумма инвестиций </t>
  </si>
  <si>
    <t>Тех осмотр автомобилей</t>
  </si>
  <si>
    <t>в том числе зачетами</t>
  </si>
  <si>
    <t>Расходы на выплату вознаграждений за заемные средства для реализации инвестиционных программ</t>
  </si>
  <si>
    <t>3.1.</t>
  </si>
  <si>
    <t>3.2.</t>
  </si>
  <si>
    <t>Участие в семинаре</t>
  </si>
  <si>
    <t>Материалы на содержание автобуса</t>
  </si>
  <si>
    <t>закуп эксплуатация</t>
  </si>
  <si>
    <t>займ</t>
  </si>
  <si>
    <t xml:space="preserve">Погашение основного долга </t>
  </si>
  <si>
    <t>Налоги</t>
  </si>
  <si>
    <t>Технические мероприятия Инвестпрограммы</t>
  </si>
  <si>
    <t>3.1.1.</t>
  </si>
  <si>
    <t>3.1.2.</t>
  </si>
  <si>
    <t>12.</t>
  </si>
  <si>
    <t>Прочие</t>
  </si>
  <si>
    <t>Замена индукционных счетчиков электроэнергии 100 В на электронные с долговременной памятью в  точках коммерческого учета на ПС</t>
  </si>
  <si>
    <t>Другие материалы для улучшения бытовых условий</t>
  </si>
  <si>
    <t xml:space="preserve">Монтаж систем  видеонаблюдения </t>
  </si>
  <si>
    <t>Монтаж световой   сигнализации</t>
  </si>
  <si>
    <t>БЮДЖЕТ</t>
  </si>
  <si>
    <t xml:space="preserve">  ТОО "Межрегионэнерготранзит"  на  2016 год</t>
  </si>
  <si>
    <t>Дт задолжен-ность на 01.01.2016 г</t>
  </si>
  <si>
    <t>Кт задолжен-ность на 01.01.2016 г</t>
  </si>
  <si>
    <t>Всего на 2016  год</t>
  </si>
  <si>
    <t>Услуги по промывке тепловой сети</t>
  </si>
  <si>
    <t>Услуги по обслуживанию пожарной сигнализации</t>
  </si>
  <si>
    <t>5.</t>
  </si>
  <si>
    <t>Средства пожаротушения</t>
  </si>
  <si>
    <t>Спецпитание</t>
  </si>
  <si>
    <t>Защитные средства</t>
  </si>
  <si>
    <t>Спецодежда</t>
  </si>
  <si>
    <t>Тех  обслуживание кондиционеров</t>
  </si>
  <si>
    <t>Затраты на охрану объектов</t>
  </si>
  <si>
    <t>Сбор за проезд по дорогам РК</t>
  </si>
  <si>
    <t xml:space="preserve">Свидетельство о профессиональном образовании с обложкой </t>
  </si>
  <si>
    <t>Услуги по обследованию ГПМ</t>
  </si>
  <si>
    <t>6.</t>
  </si>
  <si>
    <t>тыс.тенге</t>
  </si>
  <si>
    <t>в том числе:</t>
  </si>
  <si>
    <t xml:space="preserve">Аренда ВЧ-стоек </t>
  </si>
  <si>
    <t>Аренда автотранспорта</t>
  </si>
  <si>
    <t>7.</t>
  </si>
  <si>
    <t>НДС</t>
  </si>
  <si>
    <t>8.</t>
  </si>
  <si>
    <t>Услуги банка</t>
  </si>
  <si>
    <t>9.</t>
  </si>
  <si>
    <t>Исполнение инвестпрограммы</t>
  </si>
  <si>
    <t xml:space="preserve">Приобретение электросетевого имущества </t>
  </si>
  <si>
    <t>Прочие за счет прибыли</t>
  </si>
  <si>
    <t>Приобретение ОС по охране труда</t>
  </si>
  <si>
    <t>Расходы по иной деятельности</t>
  </si>
  <si>
    <t>Начальник ПЭО</t>
  </si>
  <si>
    <t>Социальный налог</t>
  </si>
  <si>
    <t>Коммунальные услуги</t>
  </si>
  <si>
    <t>Командировочные расходы</t>
  </si>
  <si>
    <t>Канцелярские расходы</t>
  </si>
  <si>
    <t>Охрана труда</t>
  </si>
  <si>
    <t>Поверка приборов</t>
  </si>
  <si>
    <t>Страхование  от несчастных случаев</t>
  </si>
  <si>
    <t>Страхование автотранспорта</t>
  </si>
  <si>
    <t>Типографские расходы</t>
  </si>
  <si>
    <t>Подготовка кадров</t>
  </si>
  <si>
    <t>Услуги почты</t>
  </si>
  <si>
    <t>Публикация объявлений</t>
  </si>
  <si>
    <t>Нотариальные услуги</t>
  </si>
  <si>
    <t>Периодическая печать (подписка)</t>
  </si>
  <si>
    <t>Дт задолженность на 01.01.2017 г</t>
  </si>
  <si>
    <t>Кт задолженность на 01.01.2017 г</t>
  </si>
  <si>
    <t>Услуги по проведению экспертиз</t>
  </si>
  <si>
    <t>Оформление имущества</t>
  </si>
  <si>
    <t xml:space="preserve">Замена индукционных счетчиков электроэнергии 380 В на точках учета собственных и хозяйственных нужд на электронные </t>
  </si>
  <si>
    <t xml:space="preserve">Замена индукционных счетчиков электроэнергии 100 В  на электронные без долговременной памяти в  точках коммерческого учета на ПС                         </t>
  </si>
  <si>
    <t>Счетчик эталонный трехфазный ЦЭ6815</t>
  </si>
  <si>
    <t>3.2.1.</t>
  </si>
  <si>
    <t>3.2.2.</t>
  </si>
  <si>
    <t>3.2.3.</t>
  </si>
  <si>
    <t>3.2.4.</t>
  </si>
  <si>
    <t>3.2.5.</t>
  </si>
  <si>
    <t>3.2.6.</t>
  </si>
  <si>
    <t>3.2.7.</t>
  </si>
  <si>
    <t>Мыло</t>
  </si>
  <si>
    <t>денежными средствами</t>
  </si>
  <si>
    <t>зачетами</t>
  </si>
  <si>
    <t>Сальдо денежных средств на начало месяца</t>
  </si>
  <si>
    <t>1.</t>
  </si>
  <si>
    <t>Объем оказываемых услуг</t>
  </si>
  <si>
    <t>тыс. кВтч</t>
  </si>
  <si>
    <t>Тариф</t>
  </si>
  <si>
    <t>тенге/кВтч</t>
  </si>
  <si>
    <t>II.</t>
  </si>
  <si>
    <t>I.</t>
  </si>
  <si>
    <t>Итого</t>
  </si>
  <si>
    <t>Аренда установки для поверки счетчиков</t>
  </si>
  <si>
    <t>Информационное сопровождение</t>
  </si>
  <si>
    <t>Услуги преподавателей в ЦПК</t>
  </si>
  <si>
    <t>Абонентская плата GPS</t>
  </si>
  <si>
    <t>Оценка имущества</t>
  </si>
  <si>
    <t>Причины отклонения</t>
  </si>
  <si>
    <t>Приложение 4</t>
  </si>
  <si>
    <t>к Правилам утверждения инвестиционных</t>
  </si>
  <si>
    <t>программ (проектов) субъекта естественной</t>
  </si>
  <si>
    <t>монополии, их корректировки, а также</t>
  </si>
  <si>
    <t>проведения анализа информации об их</t>
  </si>
  <si>
    <t>исполнении</t>
  </si>
  <si>
    <t>ИНФОРМАЦИЯ субъекта естественной монополии ТОО "Межрегионэнерготранзит"</t>
  </si>
  <si>
    <t>о ходе исполнения инвестиционной программы за 2017 год по состоянию  на 15 июня 2017 года</t>
  </si>
  <si>
    <r>
      <t>Вид деятельности</t>
    </r>
    <r>
      <rPr>
        <sz val="11"/>
        <color indexed="8"/>
        <rFont val="Times New Roman"/>
        <family val="1"/>
      </rPr>
      <t>: передача и распределение электрической энергии</t>
    </r>
  </si>
  <si>
    <t>Утверждено                                        совместным приказом Вице-министра энергетики  Республики Казахстан от 02 декабря 2014 года № 167 и руководителя Департамента Агентства Республики Казахстан по регулированию естественных монополий по Костанайской области от 14 августа 2014 года № 201 -ОД</t>
  </si>
  <si>
    <t>Проект</t>
  </si>
  <si>
    <t>Факт</t>
  </si>
  <si>
    <t>Количество</t>
  </si>
  <si>
    <t>Сумма инвестиций, тыс. тенге</t>
  </si>
  <si>
    <t>Собственные средства</t>
  </si>
  <si>
    <t>Заемные средства</t>
  </si>
  <si>
    <t>Бюджетные средства</t>
  </si>
  <si>
    <t>Иная деятельность</t>
  </si>
  <si>
    <t>План</t>
  </si>
  <si>
    <t>Стоимость</t>
  </si>
  <si>
    <t>Исполнение согласно графику</t>
  </si>
  <si>
    <t>Реконструкция ПС 35/6 кВ «КЖБИ»  (замена МВ-35кВ на  вакуумные ВВУ-СЭЩ-35-20/10000У2)</t>
  </si>
  <si>
    <t>Реконструкция ПС110кВ «Боровская» (замена МВ на выключатель типа ВГП 110кВ, двух ТН типа ЗНОМ-35 на ЗНОЛ-35)</t>
  </si>
  <si>
    <t>Реконструкция ПС 110/10 кВ «Владимировка» (замена масляного выключателя 110кВ на элегазовый ВГП-110)</t>
  </si>
  <si>
    <t>Реконструкция ПС 35\10\6кВ «Заводская» (замена МВ-35  на вакуумный -2 шт. и установка секционного выключателя  35 кВ-1 шт., замена 11штук МВ-10 кВ на вакууммный  с комплектом адаптации)</t>
  </si>
  <si>
    <t>Замена маслонаполненных вводов-110кВ на ввода с твёрдой изоляцией на  ПС 110 кВ  Успеновка</t>
  </si>
  <si>
    <t>Замена изоляторов типа ИОС-110кВ на полимерные  на 5 ПС 110 кВ: Урожайная, Успеновка, Чеховка, Станционная и Комсомолец</t>
  </si>
  <si>
    <t>Замена маслонаполненных измерительных трансформаторов 35кВ на ПС: «Джаркуль», «Урицк», «Восток», "Боровская" типа ТОЛ-35, ЗНОЛ-35</t>
  </si>
  <si>
    <t xml:space="preserve">Замена масляных выключателей 10кВ на вакуумные с комплектами адаптации на ПС «Улькен-Барак», «Успеновка», «Целинная», «Глебовка» с блоками микропроцессорных защит типа СИРИУС-2-МЛ </t>
  </si>
  <si>
    <t>Реконструкция цепей РЗА на ПС 220 кВ «Ленинская» (замена кабельной продукции и регистратора аварийных событий)</t>
  </si>
  <si>
    <t xml:space="preserve">Реконструкция ПС 220кВ  Приуральской (замена АКБ  батареи зарядного выпрямительного устройства) </t>
  </si>
  <si>
    <t>Реконструкция ЛЭП-35 кВ «Транзитная-Новопокровка»</t>
  </si>
  <si>
    <t>Реконструкция ЛЭП-0,4 кВ (замена неизолированных проводов марки АС и алюминиевой арматуры  на СИП - 0,4 кВ )</t>
  </si>
  <si>
    <t>Реконструкция ЛЭП-35 кВ «Чапаево-Лесная»</t>
  </si>
  <si>
    <t>Здания и сооружения</t>
  </si>
  <si>
    <t xml:space="preserve">ОПУ </t>
  </si>
  <si>
    <t xml:space="preserve">Электромастерская </t>
  </si>
  <si>
    <t>Приобретение автомобильной техники и агрегатов</t>
  </si>
  <si>
    <t>Охранная сигнализация</t>
  </si>
  <si>
    <t>Приборы по РЗА</t>
  </si>
  <si>
    <t>Приобретение комп техники</t>
  </si>
  <si>
    <t>Ремонт автомобилей</t>
  </si>
  <si>
    <t>Показатели  эффективности,надежности и качества ТОО "Межрегионэнерготранзит"</t>
  </si>
  <si>
    <r>
      <t>Показатели эффективности, надежности и качества</t>
    </r>
    <r>
      <rPr>
        <b/>
        <vertAlign val="superscript"/>
        <sz val="12"/>
        <color indexed="8"/>
        <rFont val="Times New Roman"/>
        <family val="1"/>
      </rPr>
      <t>2</t>
    </r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</si>
  <si>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</si>
  <si>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</si>
  <si>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</si>
  <si>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Объем услуг по передаче и распределению электрической энергии , тыс. кВтч</t>
  </si>
  <si>
    <t>Снижение износа (физического) сетей,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</si>
  <si>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</si>
  <si>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</si>
  <si>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Выполнение противоаварийных мероприятий и мероприятия по замене устаревшего оборудования</t>
  </si>
  <si>
    <t>Факт II полугодия  2016 года</t>
  </si>
  <si>
    <t>План на 2017 год</t>
  </si>
  <si>
    <t xml:space="preserve">Факт  полугодия 2017 года </t>
  </si>
  <si>
    <r>
      <t xml:space="preserve">Инвестиционная программа на 2016-2020 г.г (корректировка)  </t>
    </r>
    <r>
      <rPr>
        <sz val="12"/>
        <color indexed="8"/>
        <rFont val="Times New Roman"/>
        <family val="1"/>
      </rPr>
      <t>утверждена совместным приказом  вице-министра энергетики Республики Казахстан от 06 декабря 2016 г. № 515 и руководителя Департамента Комитета по регулированию естественных монополий и защите конкуренции Министерства национальной экономики Республики Казахстан по Костанайской области от 10 ноября 2016 года № 310-ОД</t>
    </r>
  </si>
  <si>
    <t>Здание РПБ ПСТ 110/10 кВ Федоровка</t>
  </si>
  <si>
    <t>Строительство теплой стоянки ПСТ Южная (проект)</t>
  </si>
  <si>
    <t>Мероприятия инвестпрограммы  позволяют лишь снизить темп роста износа ОС</t>
  </si>
  <si>
    <t>3 аварийных отключений, снижение на 50 %</t>
  </si>
  <si>
    <t>6 аварийных  отключений, всего за 2016 год</t>
  </si>
  <si>
    <t>По сравнению со II  полугодием 2016 г. снижение объема услуг за I  полугодие 2017 г. на 3,6 % за счет неравнозначности двух полугодий -  по итогам года ожидается прирост 0,2 %</t>
  </si>
  <si>
    <t xml:space="preserve">Норматив 2016 г - 4,45 %   Факт  2017 г. - 4,02 % За счет экономичных режимов включения обогрева  маслонаполненного оборудования -ТП ниже норматива 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</si>
</sst>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0"/>
    <numFmt numFmtId="166" formatCode="#,##0.000"/>
    <numFmt numFmtId="167" formatCode="#,##0.00000"/>
    <numFmt numFmtId="168" formatCode="#,##0.000000"/>
    <numFmt numFmtId="169" formatCode="0.00000"/>
    <numFmt numFmtId="170" formatCode="0.0000"/>
    <numFmt numFmtId="171" formatCode="_-* #,##0.0_р_._-;\-* #,##0.0_р_._-;_-* &quot;-&quot;??_р_._-;_-@_-"/>
    <numFmt numFmtId="172" formatCode="_-* #,##0.000_р_._-;\-* #,##0.000_р_._-;_-* &quot;-&quot;??_р_._-;_-@_-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#,##0_ ;\-#,##0\ "/>
    <numFmt numFmtId="181" formatCode="dd/mm/yy;@"/>
    <numFmt numFmtId="182" formatCode="[$-419]mmmm\ yyyy;@"/>
    <numFmt numFmtId="183" formatCode="0.000000"/>
    <numFmt numFmtId="184" formatCode="#,##0.00_ ;[Red]\-#,##0.00\ "/>
    <numFmt numFmtId="185" formatCode="#,##0.0_ ;[Red]\-#,##0.0\ "/>
    <numFmt numFmtId="186" formatCode="#,##0.00_ ;\-#,##0.00\ "/>
    <numFmt numFmtId="187" formatCode="0.00000000"/>
    <numFmt numFmtId="188" formatCode="0.0000000"/>
    <numFmt numFmtId="189" formatCode="0.00;[Red]\-0.00"/>
    <numFmt numFmtId="190" formatCode="#,##0.00;[Red]\-#,##0.00"/>
    <numFmt numFmtId="191" formatCode="#,##0.0000000"/>
    <numFmt numFmtId="192" formatCode="#,##0.00000000"/>
    <numFmt numFmtId="193" formatCode="#,##0.000000000"/>
    <numFmt numFmtId="194" formatCode="0.0000000000"/>
    <numFmt numFmtId="195" formatCode="0.000000000"/>
    <numFmt numFmtId="196" formatCode="0.00000000000"/>
    <numFmt numFmtId="197" formatCode="0.000000000000"/>
    <numFmt numFmtId="198" formatCode="0.0000000000000"/>
    <numFmt numFmtId="199" formatCode="#,##0.00;[Red]#,##0.00"/>
    <numFmt numFmtId="200" formatCode="000"/>
    <numFmt numFmtId="201" formatCode="#,##0.00,"/>
    <numFmt numFmtId="202" formatCode="[=-13607967.98]&quot;(13 607,97)&quot;;General"/>
    <numFmt numFmtId="203" formatCode="[=0]&quot;-&quot;;General"/>
    <numFmt numFmtId="204" formatCode="[=-31259581.34]&quot;(31 259,58)&quot;;General"/>
    <numFmt numFmtId="205" formatCode="0.0%"/>
  </numFmts>
  <fonts count="7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b/>
      <sz val="12"/>
      <color indexed="10"/>
      <name val="Times New Roman"/>
      <family val="1"/>
    </font>
    <font>
      <i/>
      <sz val="9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11"/>
      <color indexed="10"/>
      <name val="Times New Roman"/>
      <family val="1"/>
    </font>
    <font>
      <sz val="8"/>
      <name val="Times New Roman"/>
      <family val="1"/>
    </font>
    <font>
      <i/>
      <sz val="12"/>
      <color indexed="8"/>
      <name val="Times New Roman"/>
      <family val="1"/>
    </font>
    <font>
      <sz val="8"/>
      <name val="Arial"/>
      <family val="2"/>
    </font>
    <font>
      <u val="single"/>
      <sz val="12"/>
      <color indexed="1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5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2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12" borderId="0" applyNumberFormat="0" applyBorder="0" applyAlignment="0" applyProtection="0"/>
    <xf numFmtId="0" fontId="57" fillId="20" borderId="0" applyNumberFormat="0" applyBorder="0" applyAlignment="0" applyProtection="0"/>
    <xf numFmtId="0" fontId="57" fillId="25" borderId="0" applyNumberFormat="0" applyBorder="0" applyAlignment="0" applyProtection="0"/>
    <xf numFmtId="0" fontId="57" fillId="22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9" borderId="0" applyNumberFormat="0" applyBorder="0" applyAlignment="0" applyProtection="0"/>
    <xf numFmtId="0" fontId="27" fillId="3" borderId="0" applyNumberFormat="0" applyBorder="0" applyAlignment="0" applyProtection="0"/>
    <xf numFmtId="0" fontId="31" fillId="30" borderId="1" applyNumberFormat="0" applyAlignment="0" applyProtection="0"/>
    <xf numFmtId="0" fontId="33" fillId="31" borderId="2" applyNumberFormat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32" borderId="0" applyNumberFormat="0" applyBorder="0" applyAlignment="0" applyProtection="0"/>
    <xf numFmtId="0" fontId="38" fillId="33" borderId="7" applyNumberFormat="0" applyFont="0" applyAlignment="0" applyProtection="0"/>
    <xf numFmtId="0" fontId="30" fillId="30" borderId="8" applyNumberFormat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8" fillId="40" borderId="10" applyNumberFormat="0" applyAlignment="0" applyProtection="0"/>
    <xf numFmtId="0" fontId="59" fillId="41" borderId="11" applyNumberFormat="0" applyAlignment="0" applyProtection="0"/>
    <xf numFmtId="0" fontId="60" fillId="41" borderId="10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5" applyNumberFormat="0" applyFill="0" applyAlignment="0" applyProtection="0"/>
    <xf numFmtId="0" fontId="65" fillId="42" borderId="16" applyNumberFormat="0" applyAlignment="0" applyProtection="0"/>
    <xf numFmtId="0" fontId="66" fillId="0" borderId="0" applyNumberFormat="0" applyFill="0" applyBorder="0" applyAlignment="0" applyProtection="0"/>
    <xf numFmtId="0" fontId="67" fillId="43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70" fillId="0" borderId="18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46" borderId="0" applyNumberFormat="0" applyBorder="0" applyAlignment="0" applyProtection="0"/>
  </cellStyleXfs>
  <cellXfs count="244">
    <xf numFmtId="0" fontId="0" fillId="0" borderId="0" xfId="0" applyAlignment="1">
      <alignment/>
    </xf>
    <xf numFmtId="4" fontId="2" fillId="0" borderId="19" xfId="15" applyNumberFormat="1" applyFont="1" applyFill="1" applyBorder="1" applyAlignment="1">
      <alignment vertical="center" wrapText="1"/>
      <protection/>
    </xf>
    <xf numFmtId="0" fontId="2" fillId="0" borderId="0" xfId="99" applyFont="1" applyFill="1" applyAlignment="1">
      <alignment vertical="center" wrapText="1"/>
      <protection/>
    </xf>
    <xf numFmtId="0" fontId="2" fillId="0" borderId="0" xfId="99" applyFont="1" applyFill="1" applyAlignment="1">
      <alignment horizontal="left" vertical="center" wrapText="1"/>
      <protection/>
    </xf>
    <xf numFmtId="0" fontId="2" fillId="0" borderId="0" xfId="99" applyFont="1" applyFill="1" applyAlignment="1">
      <alignment horizontal="center" vertical="center" wrapText="1"/>
      <protection/>
    </xf>
    <xf numFmtId="4" fontId="2" fillId="0" borderId="0" xfId="99" applyNumberFormat="1" applyFont="1" applyFill="1" applyAlignment="1">
      <alignment vertical="center" wrapText="1"/>
      <protection/>
    </xf>
    <xf numFmtId="0" fontId="4" fillId="0" borderId="19" xfId="99" applyFont="1" applyFill="1" applyBorder="1" applyAlignment="1">
      <alignment horizontal="center" vertical="center" wrapText="1"/>
      <protection/>
    </xf>
    <xf numFmtId="0" fontId="2" fillId="0" borderId="20" xfId="99" applyFont="1" applyFill="1" applyBorder="1" applyAlignment="1">
      <alignment horizontal="center" vertical="center" wrapText="1"/>
      <protection/>
    </xf>
    <xf numFmtId="4" fontId="2" fillId="0" borderId="19" xfId="99" applyNumberFormat="1" applyFont="1" applyFill="1" applyBorder="1" applyAlignment="1">
      <alignment horizontal="center" vertical="center" wrapText="1"/>
      <protection/>
    </xf>
    <xf numFmtId="0" fontId="2" fillId="0" borderId="19" xfId="99" applyFont="1" applyFill="1" applyBorder="1" applyAlignment="1">
      <alignment horizontal="center" vertical="center" wrapText="1"/>
      <protection/>
    </xf>
    <xf numFmtId="0" fontId="1" fillId="0" borderId="19" xfId="99" applyFont="1" applyFill="1" applyBorder="1" applyAlignment="1">
      <alignment horizontal="center" vertical="center" wrapText="1"/>
      <protection/>
    </xf>
    <xf numFmtId="0" fontId="1" fillId="0" borderId="19" xfId="99" applyFont="1" applyFill="1" applyBorder="1" applyAlignment="1">
      <alignment horizontal="left" vertical="center" wrapText="1"/>
      <protection/>
    </xf>
    <xf numFmtId="4" fontId="1" fillId="0" borderId="19" xfId="99" applyNumberFormat="1" applyFont="1" applyFill="1" applyBorder="1" applyAlignment="1">
      <alignment horizontal="center" vertical="center" wrapText="1"/>
      <protection/>
    </xf>
    <xf numFmtId="4" fontId="2" fillId="0" borderId="19" xfId="99" applyNumberFormat="1" applyFont="1" applyFill="1" applyBorder="1" applyAlignment="1">
      <alignment horizontal="right" vertical="center" wrapText="1"/>
      <protection/>
    </xf>
    <xf numFmtId="4" fontId="1" fillId="0" borderId="19" xfId="99" applyNumberFormat="1" applyFont="1" applyFill="1" applyBorder="1" applyAlignment="1">
      <alignment vertical="center" wrapText="1"/>
      <protection/>
    </xf>
    <xf numFmtId="4" fontId="2" fillId="0" borderId="19" xfId="99" applyNumberFormat="1" applyFont="1" applyFill="1" applyBorder="1" applyAlignment="1">
      <alignment vertical="center" wrapText="1"/>
      <protection/>
    </xf>
    <xf numFmtId="0" fontId="2" fillId="0" borderId="19" xfId="99" applyFont="1" applyFill="1" applyBorder="1" applyAlignment="1">
      <alignment vertical="center" wrapText="1"/>
      <protection/>
    </xf>
    <xf numFmtId="4" fontId="1" fillId="0" borderId="19" xfId="99" applyNumberFormat="1" applyFont="1" applyFill="1" applyBorder="1" applyAlignment="1">
      <alignment horizontal="right" vertical="center" wrapText="1"/>
      <protection/>
    </xf>
    <xf numFmtId="0" fontId="2" fillId="0" borderId="19" xfId="99" applyFont="1" applyFill="1" applyBorder="1" applyAlignment="1">
      <alignment horizontal="left" vertical="center" wrapText="1"/>
      <protection/>
    </xf>
    <xf numFmtId="0" fontId="3" fillId="0" borderId="19" xfId="99" applyFont="1" applyFill="1" applyBorder="1" applyAlignment="1">
      <alignment horizontal="center" vertical="center" wrapText="1"/>
      <protection/>
    </xf>
    <xf numFmtId="0" fontId="6" fillId="0" borderId="19" xfId="99" applyFont="1" applyFill="1" applyBorder="1" applyAlignment="1">
      <alignment horizontal="center" vertical="center" wrapText="1"/>
      <protection/>
    </xf>
    <xf numFmtId="0" fontId="6" fillId="0" borderId="19" xfId="99" applyFont="1" applyFill="1" applyBorder="1" applyAlignment="1">
      <alignment horizontal="left" vertical="center" wrapText="1"/>
      <protection/>
    </xf>
    <xf numFmtId="0" fontId="7" fillId="0" borderId="19" xfId="99" applyFont="1" applyFill="1" applyBorder="1" applyAlignment="1">
      <alignment horizontal="center" vertical="center" wrapText="1"/>
      <protection/>
    </xf>
    <xf numFmtId="4" fontId="6" fillId="0" borderId="19" xfId="99" applyNumberFormat="1" applyFont="1" applyFill="1" applyBorder="1" applyAlignment="1">
      <alignment horizontal="right" vertical="center" wrapText="1"/>
      <protection/>
    </xf>
    <xf numFmtId="4" fontId="6" fillId="0" borderId="19" xfId="99" applyNumberFormat="1" applyFont="1" applyFill="1" applyBorder="1" applyAlignment="1">
      <alignment vertical="center" wrapText="1"/>
      <protection/>
    </xf>
    <xf numFmtId="0" fontId="6" fillId="0" borderId="0" xfId="99" applyFont="1" applyFill="1" applyAlignment="1">
      <alignment vertical="center" wrapText="1"/>
      <protection/>
    </xf>
    <xf numFmtId="2" fontId="2" fillId="0" borderId="19" xfId="99" applyNumberFormat="1" applyFont="1" applyFill="1" applyBorder="1" applyAlignment="1">
      <alignment horizontal="right" vertical="center" wrapText="1"/>
      <protection/>
    </xf>
    <xf numFmtId="0" fontId="8" fillId="0" borderId="19" xfId="99" applyFont="1" applyFill="1" applyBorder="1" applyAlignment="1">
      <alignment horizontal="center" vertical="center" wrapText="1"/>
      <protection/>
    </xf>
    <xf numFmtId="0" fontId="8" fillId="0" borderId="19" xfId="99" applyFont="1" applyFill="1" applyBorder="1" applyAlignment="1">
      <alignment horizontal="left" vertical="center" wrapText="1"/>
      <protection/>
    </xf>
    <xf numFmtId="4" fontId="8" fillId="0" borderId="19" xfId="99" applyNumberFormat="1" applyFont="1" applyFill="1" applyBorder="1" applyAlignment="1">
      <alignment horizontal="center" vertical="center" wrapText="1"/>
      <protection/>
    </xf>
    <xf numFmtId="4" fontId="8" fillId="0" borderId="19" xfId="99" applyNumberFormat="1" applyFont="1" applyFill="1" applyBorder="1" applyAlignment="1">
      <alignment horizontal="right" vertical="center" wrapText="1"/>
      <protection/>
    </xf>
    <xf numFmtId="4" fontId="8" fillId="0" borderId="19" xfId="99" applyNumberFormat="1" applyFont="1" applyFill="1" applyBorder="1" applyAlignment="1">
      <alignment vertical="center" wrapText="1"/>
      <protection/>
    </xf>
    <xf numFmtId="0" fontId="8" fillId="0" borderId="0" xfId="99" applyFont="1" applyFill="1" applyAlignment="1">
      <alignment vertical="center" wrapText="1"/>
      <protection/>
    </xf>
    <xf numFmtId="0" fontId="1" fillId="0" borderId="19" xfId="99" applyFont="1" applyFill="1" applyBorder="1" applyAlignment="1">
      <alignment vertical="center" wrapText="1"/>
      <protection/>
    </xf>
    <xf numFmtId="0" fontId="1" fillId="0" borderId="0" xfId="99" applyFont="1" applyFill="1" applyAlignment="1">
      <alignment vertical="center" wrapText="1"/>
      <protection/>
    </xf>
    <xf numFmtId="0" fontId="1" fillId="0" borderId="0" xfId="99" applyFont="1" applyFill="1" applyAlignment="1">
      <alignment horizontal="right" vertical="center" wrapText="1"/>
      <protection/>
    </xf>
    <xf numFmtId="16" fontId="2" fillId="0" borderId="19" xfId="99" applyNumberFormat="1" applyFont="1" applyFill="1" applyBorder="1" applyAlignment="1">
      <alignment horizontal="center" vertical="center" wrapText="1"/>
      <protection/>
    </xf>
    <xf numFmtId="4" fontId="9" fillId="0" borderId="19" xfId="99" applyNumberFormat="1" applyFont="1" applyFill="1" applyBorder="1" applyAlignment="1">
      <alignment vertical="center" wrapText="1"/>
      <protection/>
    </xf>
    <xf numFmtId="0" fontId="9" fillId="0" borderId="0" xfId="99" applyFont="1" applyFill="1" applyAlignment="1">
      <alignment vertical="center" wrapText="1"/>
      <protection/>
    </xf>
    <xf numFmtId="4" fontId="10" fillId="0" borderId="19" xfId="99" applyNumberFormat="1" applyFont="1" applyFill="1" applyBorder="1" applyAlignment="1">
      <alignment vertical="center" wrapText="1"/>
      <protection/>
    </xf>
    <xf numFmtId="0" fontId="10" fillId="0" borderId="0" xfId="99" applyFont="1" applyFill="1" applyAlignment="1">
      <alignment vertical="center" wrapText="1"/>
      <protection/>
    </xf>
    <xf numFmtId="16" fontId="1" fillId="0" borderId="19" xfId="99" applyNumberFormat="1" applyFont="1" applyFill="1" applyBorder="1" applyAlignment="1">
      <alignment horizontal="center" vertical="center" wrapText="1"/>
      <protection/>
    </xf>
    <xf numFmtId="0" fontId="11" fillId="0" borderId="0" xfId="99" applyFont="1" applyFill="1" applyAlignment="1">
      <alignment vertical="center" wrapText="1"/>
      <protection/>
    </xf>
    <xf numFmtId="4" fontId="1" fillId="0" borderId="0" xfId="99" applyNumberFormat="1" applyFont="1" applyFill="1" applyAlignment="1">
      <alignment vertical="center" wrapText="1"/>
      <protection/>
    </xf>
    <xf numFmtId="2" fontId="2" fillId="0" borderId="19" xfId="99" applyNumberFormat="1" applyFont="1" applyFill="1" applyBorder="1" applyAlignment="1">
      <alignment vertical="center" wrapText="1"/>
      <protection/>
    </xf>
    <xf numFmtId="0" fontId="3" fillId="0" borderId="19" xfId="99" applyFont="1" applyFill="1" applyBorder="1" applyAlignment="1">
      <alignment horizontal="left" vertical="center" wrapText="1"/>
      <protection/>
    </xf>
    <xf numFmtId="16" fontId="2" fillId="0" borderId="20" xfId="99" applyNumberFormat="1" applyFont="1" applyFill="1" applyBorder="1" applyAlignment="1">
      <alignment horizontal="center" vertical="center" wrapText="1"/>
      <protection/>
    </xf>
    <xf numFmtId="0" fontId="3" fillId="0" borderId="19" xfId="99" applyFont="1" applyFill="1" applyBorder="1" applyAlignment="1">
      <alignment horizontal="right" vertical="center" wrapText="1"/>
      <protection/>
    </xf>
    <xf numFmtId="0" fontId="2" fillId="0" borderId="19" xfId="0" applyFont="1" applyFill="1" applyBorder="1" applyAlignment="1">
      <alignment vertical="center" wrapText="1"/>
    </xf>
    <xf numFmtId="0" fontId="4" fillId="0" borderId="19" xfId="99" applyFont="1" applyFill="1" applyBorder="1" applyAlignment="1">
      <alignment horizontal="right" vertical="center" wrapText="1"/>
      <protection/>
    </xf>
    <xf numFmtId="0" fontId="2" fillId="0" borderId="0" xfId="99" applyFont="1" applyFill="1" applyBorder="1" applyAlignment="1">
      <alignment vertical="center" wrapText="1"/>
      <protection/>
    </xf>
    <xf numFmtId="0" fontId="2" fillId="0" borderId="0" xfId="99" applyFont="1" applyFill="1" applyBorder="1" applyAlignment="1">
      <alignment horizontal="center" vertical="center" wrapText="1"/>
      <protection/>
    </xf>
    <xf numFmtId="4" fontId="2" fillId="0" borderId="0" xfId="99" applyNumberFormat="1" applyFont="1" applyFill="1" applyBorder="1" applyAlignment="1">
      <alignment vertical="center" wrapText="1"/>
      <protection/>
    </xf>
    <xf numFmtId="0" fontId="2" fillId="0" borderId="0" xfId="99" applyFont="1" applyFill="1" applyAlignment="1">
      <alignment horizontal="right" vertical="center" wrapText="1"/>
      <protection/>
    </xf>
    <xf numFmtId="4" fontId="2" fillId="0" borderId="0" xfId="99" applyNumberFormat="1" applyFont="1" applyFill="1" applyAlignment="1">
      <alignment horizontal="center" vertical="center" wrapText="1"/>
      <protection/>
    </xf>
    <xf numFmtId="0" fontId="1" fillId="0" borderId="20" xfId="99" applyFont="1" applyFill="1" applyBorder="1" applyAlignment="1">
      <alignment horizontal="center" vertical="center" wrapText="1"/>
      <protection/>
    </xf>
    <xf numFmtId="4" fontId="1" fillId="0" borderId="20" xfId="99" applyNumberFormat="1" applyFont="1" applyFill="1" applyBorder="1" applyAlignment="1">
      <alignment horizontal="center" vertical="center" wrapText="1"/>
      <protection/>
    </xf>
    <xf numFmtId="4" fontId="2" fillId="0" borderId="19" xfId="99" applyNumberFormat="1" applyFont="1" applyFill="1" applyBorder="1" applyAlignment="1">
      <alignment horizontal="left" vertical="center" wrapText="1"/>
      <protection/>
    </xf>
    <xf numFmtId="4" fontId="2" fillId="0" borderId="0" xfId="99" applyNumberFormat="1" applyFont="1" applyFill="1" applyAlignment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4" fontId="13" fillId="0" borderId="19" xfId="99" applyNumberFormat="1" applyFont="1" applyFill="1" applyBorder="1" applyAlignment="1">
      <alignment vertical="center" wrapText="1"/>
      <protection/>
    </xf>
    <xf numFmtId="4" fontId="13" fillId="0" borderId="0" xfId="99" applyNumberFormat="1" applyFont="1" applyFill="1" applyAlignment="1">
      <alignment vertical="center" wrapText="1"/>
      <protection/>
    </xf>
    <xf numFmtId="4" fontId="14" fillId="0" borderId="0" xfId="99" applyNumberFormat="1" applyFont="1" applyFill="1" applyAlignment="1">
      <alignment vertical="center" wrapText="1"/>
      <protection/>
    </xf>
    <xf numFmtId="0" fontId="13" fillId="0" borderId="19" xfId="0" applyFont="1" applyFill="1" applyBorder="1" applyAlignment="1">
      <alignment horizontal="left" vertical="center" wrapText="1"/>
    </xf>
    <xf numFmtId="16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left" vertical="center" wrapText="1"/>
      <protection/>
    </xf>
    <xf numFmtId="4" fontId="13" fillId="0" borderId="19" xfId="99" applyNumberFormat="1" applyFont="1" applyFill="1" applyBorder="1" applyAlignment="1">
      <alignment horizontal="right" vertical="center" wrapText="1"/>
      <protection/>
    </xf>
    <xf numFmtId="0" fontId="13" fillId="0" borderId="0" xfId="99" applyFont="1" applyFill="1" applyAlignment="1">
      <alignment vertical="center" wrapText="1"/>
      <protection/>
    </xf>
    <xf numFmtId="4" fontId="9" fillId="0" borderId="19" xfId="99" applyNumberFormat="1" applyFont="1" applyFill="1" applyBorder="1" applyAlignment="1">
      <alignment horizontal="right" vertical="center" wrapText="1"/>
      <protection/>
    </xf>
    <xf numFmtId="0" fontId="2" fillId="0" borderId="19" xfId="15" applyFont="1" applyFill="1" applyBorder="1" applyAlignment="1">
      <alignment vertical="center" wrapText="1"/>
      <protection/>
    </xf>
    <xf numFmtId="4" fontId="6" fillId="0" borderId="0" xfId="99" applyNumberFormat="1" applyFont="1" applyFill="1" applyAlignment="1">
      <alignment vertical="center" wrapText="1"/>
      <protection/>
    </xf>
    <xf numFmtId="0" fontId="1" fillId="0" borderId="0" xfId="99" applyFont="1" applyFill="1" applyAlignment="1">
      <alignment horizontal="center" vertical="center" wrapText="1"/>
      <protection/>
    </xf>
    <xf numFmtId="0" fontId="1" fillId="0" borderId="0" xfId="99" applyFont="1" applyFill="1" applyAlignment="1">
      <alignment horizontal="left" vertical="center" wrapText="1"/>
      <protection/>
    </xf>
    <xf numFmtId="4" fontId="9" fillId="0" borderId="19" xfId="99" applyNumberFormat="1" applyFont="1" applyFill="1" applyBorder="1" applyAlignment="1">
      <alignment horizontal="left" vertical="center" wrapText="1"/>
      <protection/>
    </xf>
    <xf numFmtId="4" fontId="9" fillId="0" borderId="19" xfId="99" applyNumberFormat="1" applyFont="1" applyFill="1" applyBorder="1" applyAlignment="1">
      <alignment horizontal="center" vertical="center" wrapText="1"/>
      <protection/>
    </xf>
    <xf numFmtId="16" fontId="9" fillId="0" borderId="19" xfId="99" applyNumberFormat="1" applyFont="1" applyFill="1" applyBorder="1" applyAlignment="1">
      <alignment horizontal="center" vertical="center" wrapText="1"/>
      <protection/>
    </xf>
    <xf numFmtId="0" fontId="16" fillId="0" borderId="19" xfId="99" applyFont="1" applyFill="1" applyBorder="1" applyAlignment="1">
      <alignment horizontal="center" vertical="center" wrapText="1"/>
      <protection/>
    </xf>
    <xf numFmtId="0" fontId="9" fillId="0" borderId="19" xfId="0" applyFont="1" applyFill="1" applyBorder="1" applyAlignment="1">
      <alignment horizontal="left" vertical="center" wrapText="1"/>
    </xf>
    <xf numFmtId="2" fontId="9" fillId="0" borderId="19" xfId="99" applyNumberFormat="1" applyFont="1" applyFill="1" applyBorder="1" applyAlignment="1">
      <alignment vertical="center" wrapText="1"/>
      <protection/>
    </xf>
    <xf numFmtId="0" fontId="9" fillId="0" borderId="19" xfId="0" applyFont="1" applyFill="1" applyBorder="1" applyAlignment="1">
      <alignment horizontal="center" vertical="center" wrapText="1"/>
    </xf>
    <xf numFmtId="4" fontId="2" fillId="0" borderId="20" xfId="99" applyNumberFormat="1" applyFont="1" applyFill="1" applyBorder="1" applyAlignment="1">
      <alignment vertical="center" wrapText="1"/>
      <protection/>
    </xf>
    <xf numFmtId="2" fontId="2" fillId="0" borderId="0" xfId="99" applyNumberFormat="1" applyFont="1" applyFill="1" applyAlignment="1">
      <alignment vertical="center" wrapText="1"/>
      <protection/>
    </xf>
    <xf numFmtId="4" fontId="2" fillId="0" borderId="0" xfId="99" applyNumberFormat="1" applyFont="1" applyFill="1" applyAlignment="1">
      <alignment horizontal="right" vertical="center" wrapText="1"/>
      <protection/>
    </xf>
    <xf numFmtId="4" fontId="14" fillId="0" borderId="19" xfId="99" applyNumberFormat="1" applyFont="1" applyFill="1" applyBorder="1" applyAlignment="1">
      <alignment vertical="center" wrapText="1"/>
      <protection/>
    </xf>
    <xf numFmtId="0" fontId="14" fillId="0" borderId="0" xfId="99" applyFont="1" applyFill="1" applyAlignment="1">
      <alignment vertical="center" wrapText="1"/>
      <protection/>
    </xf>
    <xf numFmtId="4" fontId="19" fillId="0" borderId="0" xfId="99" applyNumberFormat="1" applyFont="1" applyFill="1" applyAlignment="1">
      <alignment horizontal="center" vertical="center" wrapText="1"/>
      <protection/>
    </xf>
    <xf numFmtId="0" fontId="2" fillId="0" borderId="19" xfId="99" applyFont="1" applyFill="1" applyBorder="1" applyAlignment="1">
      <alignment horizontal="right" vertical="center" wrapText="1"/>
      <protection/>
    </xf>
    <xf numFmtId="4" fontId="2" fillId="0" borderId="21" xfId="99" applyNumberFormat="1" applyFont="1" applyFill="1" applyBorder="1" applyAlignment="1">
      <alignment horizontal="center" vertical="center" wrapText="1"/>
      <protection/>
    </xf>
    <xf numFmtId="4" fontId="20" fillId="0" borderId="19" xfId="99" applyNumberFormat="1" applyFont="1" applyFill="1" applyBorder="1" applyAlignment="1">
      <alignment vertical="center" wrapText="1"/>
      <protection/>
    </xf>
    <xf numFmtId="0" fontId="2" fillId="0" borderId="21" xfId="99" applyFont="1" applyFill="1" applyBorder="1" applyAlignment="1">
      <alignment horizontal="center" vertical="center" wrapText="1"/>
      <protection/>
    </xf>
    <xf numFmtId="16" fontId="6" fillId="0" borderId="19" xfId="99" applyNumberFormat="1" applyFont="1" applyFill="1" applyBorder="1" applyAlignment="1">
      <alignment horizontal="center" vertical="center" wrapText="1"/>
      <protection/>
    </xf>
    <xf numFmtId="4" fontId="6" fillId="0" borderId="19" xfId="99" applyNumberFormat="1" applyFont="1" applyFill="1" applyBorder="1" applyAlignment="1">
      <alignment horizontal="left" vertical="center" wrapText="1"/>
      <protection/>
    </xf>
    <xf numFmtId="4" fontId="6" fillId="0" borderId="19" xfId="99" applyNumberFormat="1" applyFont="1" applyFill="1" applyBorder="1" applyAlignment="1">
      <alignment horizontal="center" vertical="center" wrapText="1"/>
      <protection/>
    </xf>
    <xf numFmtId="4" fontId="16" fillId="0" borderId="19" xfId="99" applyNumberFormat="1" applyFont="1" applyFill="1" applyBorder="1" applyAlignment="1">
      <alignment horizontal="center" vertical="center" wrapText="1"/>
      <protection/>
    </xf>
    <xf numFmtId="4" fontId="16" fillId="0" borderId="19" xfId="99" applyNumberFormat="1" applyFont="1" applyFill="1" applyBorder="1" applyAlignment="1">
      <alignment horizontal="right" vertical="center" wrapText="1"/>
      <protection/>
    </xf>
    <xf numFmtId="16" fontId="16" fillId="0" borderId="19" xfId="99" applyNumberFormat="1" applyFont="1" applyFill="1" applyBorder="1" applyAlignment="1">
      <alignment horizontal="center" vertical="center" wrapText="1"/>
      <protection/>
    </xf>
    <xf numFmtId="4" fontId="16" fillId="0" borderId="19" xfId="99" applyNumberFormat="1" applyFont="1" applyFill="1" applyBorder="1" applyAlignment="1">
      <alignment horizontal="left" vertical="center" wrapText="1"/>
      <protection/>
    </xf>
    <xf numFmtId="4" fontId="16" fillId="0" borderId="19" xfId="99" applyNumberFormat="1" applyFont="1" applyFill="1" applyBorder="1" applyAlignment="1">
      <alignment vertical="center" wrapText="1"/>
      <protection/>
    </xf>
    <xf numFmtId="166" fontId="1" fillId="0" borderId="19" xfId="99" applyNumberFormat="1" applyFont="1" applyFill="1" applyBorder="1" applyAlignment="1">
      <alignment horizontal="right" vertical="center" wrapText="1"/>
      <protection/>
    </xf>
    <xf numFmtId="4" fontId="42" fillId="0" borderId="19" xfId="99" applyNumberFormat="1" applyFont="1" applyFill="1" applyBorder="1" applyAlignment="1">
      <alignment vertical="center" wrapText="1"/>
      <protection/>
    </xf>
    <xf numFmtId="4" fontId="9" fillId="0" borderId="0" xfId="99" applyNumberFormat="1" applyFont="1" applyFill="1" applyAlignment="1">
      <alignment vertical="center" wrapText="1"/>
      <protection/>
    </xf>
    <xf numFmtId="4" fontId="10" fillId="0" borderId="0" xfId="99" applyNumberFormat="1" applyFont="1" applyFill="1" applyAlignment="1">
      <alignment vertical="center" wrapText="1"/>
      <protection/>
    </xf>
    <xf numFmtId="0" fontId="4" fillId="0" borderId="20" xfId="99" applyFont="1" applyFill="1" applyBorder="1" applyAlignment="1">
      <alignment horizontal="center" vertical="center" wrapText="1"/>
      <protection/>
    </xf>
    <xf numFmtId="4" fontId="1" fillId="0" borderId="0" xfId="99" applyNumberFormat="1" applyFont="1" applyFill="1" applyAlignment="1">
      <alignment horizontal="right" vertical="center" wrapText="1"/>
      <protection/>
    </xf>
    <xf numFmtId="165" fontId="9" fillId="0" borderId="19" xfId="99" applyNumberFormat="1" applyFont="1" applyFill="1" applyBorder="1" applyAlignment="1">
      <alignment horizontal="center" vertical="center" wrapText="1"/>
      <protection/>
    </xf>
    <xf numFmtId="165" fontId="9" fillId="0" borderId="19" xfId="99" applyNumberFormat="1" applyFont="1" applyFill="1" applyBorder="1" applyAlignment="1">
      <alignment horizontal="right" vertical="center" wrapText="1"/>
      <protection/>
    </xf>
    <xf numFmtId="4" fontId="11" fillId="0" borderId="0" xfId="99" applyNumberFormat="1" applyFont="1" applyFill="1" applyAlignment="1">
      <alignment vertical="center" wrapText="1"/>
      <protection/>
    </xf>
    <xf numFmtId="16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4" fontId="14" fillId="0" borderId="19" xfId="99" applyNumberFormat="1" applyFont="1" applyFill="1" applyBorder="1" applyAlignment="1">
      <alignment horizontal="right" vertical="center" wrapText="1"/>
      <protection/>
    </xf>
    <xf numFmtId="4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0" applyFont="1" applyFill="1" applyBorder="1" applyAlignment="1">
      <alignment vertical="center" wrapText="1"/>
    </xf>
    <xf numFmtId="0" fontId="4" fillId="0" borderId="19" xfId="99" applyFont="1" applyFill="1" applyBorder="1" applyAlignment="1">
      <alignment horizontal="left" vertical="center" wrapText="1"/>
      <protection/>
    </xf>
    <xf numFmtId="4" fontId="2" fillId="0" borderId="0" xfId="99" applyNumberFormat="1" applyFont="1" applyFill="1" applyBorder="1" applyAlignment="1">
      <alignment horizontal="right" vertical="center" wrapText="1"/>
      <protection/>
    </xf>
    <xf numFmtId="4" fontId="17" fillId="0" borderId="19" xfId="99" applyNumberFormat="1" applyFont="1" applyFill="1" applyBorder="1" applyAlignment="1">
      <alignment horizontal="right" vertical="center" wrapText="1"/>
      <protection/>
    </xf>
    <xf numFmtId="0" fontId="1" fillId="0" borderId="22" xfId="99" applyFont="1" applyFill="1" applyBorder="1" applyAlignment="1">
      <alignment horizontal="center" vertical="center" wrapText="1"/>
      <protection/>
    </xf>
    <xf numFmtId="4" fontId="41" fillId="0" borderId="19" xfId="99" applyNumberFormat="1" applyFont="1" applyFill="1" applyBorder="1" applyAlignment="1">
      <alignment vertical="center" wrapText="1"/>
      <protection/>
    </xf>
    <xf numFmtId="0" fontId="11" fillId="0" borderId="19" xfId="99" applyFont="1" applyFill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horizontal="left" vertical="center" wrapText="1"/>
    </xf>
    <xf numFmtId="0" fontId="43" fillId="0" borderId="19" xfId="99" applyFont="1" applyFill="1" applyBorder="1" applyAlignment="1">
      <alignment horizontal="center" vertical="center" wrapText="1"/>
      <protection/>
    </xf>
    <xf numFmtId="4" fontId="11" fillId="0" borderId="19" xfId="99" applyNumberFormat="1" applyFont="1" applyFill="1" applyBorder="1" applyAlignment="1">
      <alignment horizontal="right" vertical="center" wrapText="1"/>
      <protection/>
    </xf>
    <xf numFmtId="4" fontId="8" fillId="0" borderId="0" xfId="99" applyNumberFormat="1" applyFont="1" applyFill="1" applyAlignment="1">
      <alignment vertical="center" wrapText="1"/>
      <protection/>
    </xf>
    <xf numFmtId="16" fontId="44" fillId="0" borderId="19" xfId="99" applyNumberFormat="1" applyFont="1" applyFill="1" applyBorder="1" applyAlignment="1">
      <alignment horizontal="center" vertical="center" wrapText="1"/>
      <protection/>
    </xf>
    <xf numFmtId="4" fontId="44" fillId="0" borderId="19" xfId="99" applyNumberFormat="1" applyFont="1" applyFill="1" applyBorder="1" applyAlignment="1">
      <alignment horizontal="left" vertical="center" wrapText="1"/>
      <protection/>
    </xf>
    <xf numFmtId="0" fontId="44" fillId="0" borderId="19" xfId="99" applyFont="1" applyFill="1" applyBorder="1" applyAlignment="1">
      <alignment horizontal="center" vertical="center" wrapText="1"/>
      <protection/>
    </xf>
    <xf numFmtId="4" fontId="44" fillId="0" borderId="19" xfId="99" applyNumberFormat="1" applyFont="1" applyFill="1" applyBorder="1" applyAlignment="1">
      <alignment horizontal="center" vertical="center" wrapText="1"/>
      <protection/>
    </xf>
    <xf numFmtId="4" fontId="44" fillId="0" borderId="19" xfId="99" applyNumberFormat="1" applyFont="1" applyFill="1" applyBorder="1" applyAlignment="1">
      <alignment horizontal="right" vertical="center" wrapText="1"/>
      <protection/>
    </xf>
    <xf numFmtId="4" fontId="44" fillId="0" borderId="19" xfId="99" applyNumberFormat="1" applyFont="1" applyFill="1" applyBorder="1" applyAlignment="1">
      <alignment vertical="center" wrapText="1"/>
      <protection/>
    </xf>
    <xf numFmtId="4" fontId="45" fillId="0" borderId="19" xfId="99" applyNumberFormat="1" applyFont="1" applyFill="1" applyBorder="1" applyAlignment="1">
      <alignment horizontal="right" vertical="center" wrapText="1"/>
      <protection/>
    </xf>
    <xf numFmtId="4" fontId="46" fillId="0" borderId="0" xfId="99" applyNumberFormat="1" applyFont="1" applyFill="1" applyAlignment="1">
      <alignment horizontal="right" vertical="center" wrapText="1"/>
      <protection/>
    </xf>
    <xf numFmtId="4" fontId="44" fillId="0" borderId="0" xfId="99" applyNumberFormat="1" applyFont="1" applyFill="1" applyAlignment="1">
      <alignment vertical="center" wrapText="1"/>
      <protection/>
    </xf>
    <xf numFmtId="0" fontId="44" fillId="0" borderId="0" xfId="99" applyFont="1" applyFill="1" applyAlignment="1">
      <alignment vertical="center" wrapText="1"/>
      <protection/>
    </xf>
    <xf numFmtId="4" fontId="47" fillId="0" borderId="19" xfId="99" applyNumberFormat="1" applyFont="1" applyFill="1" applyBorder="1" applyAlignment="1">
      <alignment horizontal="right" vertical="center" wrapText="1"/>
      <protection/>
    </xf>
    <xf numFmtId="0" fontId="45" fillId="0" borderId="19" xfId="99" applyFont="1" applyFill="1" applyBorder="1" applyAlignment="1">
      <alignment horizontal="center" vertical="center" wrapText="1"/>
      <protection/>
    </xf>
    <xf numFmtId="4" fontId="45" fillId="0" borderId="19" xfId="99" applyNumberFormat="1" applyFont="1" applyFill="1" applyBorder="1" applyAlignment="1">
      <alignment horizontal="left" vertical="center" wrapText="1"/>
      <protection/>
    </xf>
    <xf numFmtId="0" fontId="46" fillId="0" borderId="19" xfId="99" applyFont="1" applyFill="1" applyBorder="1" applyAlignment="1">
      <alignment horizontal="center" vertical="center" wrapText="1"/>
      <protection/>
    </xf>
    <xf numFmtId="4" fontId="46" fillId="0" borderId="19" xfId="99" applyNumberFormat="1" applyFont="1" applyFill="1" applyBorder="1" applyAlignment="1">
      <alignment horizontal="right" vertical="center" wrapText="1"/>
      <protection/>
    </xf>
    <xf numFmtId="0" fontId="46" fillId="0" borderId="0" xfId="99" applyFont="1" applyFill="1" applyAlignment="1">
      <alignment horizontal="right" vertical="center" wrapText="1"/>
      <protection/>
    </xf>
    <xf numFmtId="16" fontId="48" fillId="0" borderId="19" xfId="99" applyNumberFormat="1" applyFont="1" applyFill="1" applyBorder="1" applyAlignment="1">
      <alignment horizontal="center" vertical="center" wrapText="1"/>
      <protection/>
    </xf>
    <xf numFmtId="4" fontId="48" fillId="0" borderId="19" xfId="99" applyNumberFormat="1" applyFont="1" applyFill="1" applyBorder="1" applyAlignment="1">
      <alignment horizontal="left" vertical="center" wrapText="1"/>
      <protection/>
    </xf>
    <xf numFmtId="0" fontId="48" fillId="0" borderId="19" xfId="99" applyFont="1" applyFill="1" applyBorder="1" applyAlignment="1">
      <alignment horizontal="center" vertical="center" wrapText="1"/>
      <protection/>
    </xf>
    <xf numFmtId="4" fontId="48" fillId="0" borderId="19" xfId="99" applyNumberFormat="1" applyFont="1" applyFill="1" applyBorder="1" applyAlignment="1">
      <alignment horizontal="center" vertical="center" wrapText="1"/>
      <protection/>
    </xf>
    <xf numFmtId="4" fontId="48" fillId="0" borderId="19" xfId="99" applyNumberFormat="1" applyFont="1" applyFill="1" applyBorder="1" applyAlignment="1">
      <alignment horizontal="right" vertical="center" wrapText="1"/>
      <protection/>
    </xf>
    <xf numFmtId="4" fontId="48" fillId="0" borderId="19" xfId="99" applyNumberFormat="1" applyFont="1" applyFill="1" applyBorder="1" applyAlignment="1">
      <alignment vertical="center" wrapText="1"/>
      <protection/>
    </xf>
    <xf numFmtId="16" fontId="41" fillId="0" borderId="19" xfId="99" applyNumberFormat="1" applyFont="1" applyFill="1" applyBorder="1" applyAlignment="1">
      <alignment horizontal="center" vertical="center" wrapText="1"/>
      <protection/>
    </xf>
    <xf numFmtId="0" fontId="41" fillId="0" borderId="19" xfId="0" applyFont="1" applyFill="1" applyBorder="1" applyAlignment="1">
      <alignment vertical="center" wrapText="1"/>
    </xf>
    <xf numFmtId="0" fontId="41" fillId="0" borderId="19" xfId="99" applyFont="1" applyFill="1" applyBorder="1" applyAlignment="1">
      <alignment horizontal="center" vertical="center" wrapText="1"/>
      <protection/>
    </xf>
    <xf numFmtId="0" fontId="41" fillId="0" borderId="19" xfId="99" applyFont="1" applyFill="1" applyBorder="1" applyAlignment="1">
      <alignment horizontal="left" vertical="center" wrapText="1"/>
      <protection/>
    </xf>
    <xf numFmtId="4" fontId="41" fillId="0" borderId="19" xfId="99" applyNumberFormat="1" applyFont="1" applyFill="1" applyBorder="1" applyAlignment="1">
      <alignment horizontal="center" vertical="center" wrapText="1"/>
      <protection/>
    </xf>
    <xf numFmtId="4" fontId="41" fillId="0" borderId="19" xfId="99" applyNumberFormat="1" applyFont="1" applyFill="1" applyBorder="1" applyAlignment="1">
      <alignment horizontal="right" vertical="center" wrapText="1"/>
      <protection/>
    </xf>
    <xf numFmtId="0" fontId="41" fillId="0" borderId="0" xfId="99" applyFont="1" applyFill="1" applyAlignment="1">
      <alignment vertical="center" wrapText="1"/>
      <protection/>
    </xf>
    <xf numFmtId="0" fontId="12" fillId="0" borderId="0" xfId="0" applyFont="1" applyAlignment="1">
      <alignment/>
    </xf>
    <xf numFmtId="0" fontId="21" fillId="0" borderId="19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top" wrapText="1"/>
    </xf>
    <xf numFmtId="9" fontId="15" fillId="0" borderId="19" xfId="0" applyNumberFormat="1" applyFont="1" applyFill="1" applyBorder="1" applyAlignment="1">
      <alignment horizontal="center" vertical="center" wrapText="1"/>
    </xf>
    <xf numFmtId="205" fontId="15" fillId="0" borderId="19" xfId="0" applyNumberFormat="1" applyFont="1" applyBorder="1" applyAlignment="1">
      <alignment horizontal="center" vertical="center" wrapText="1"/>
    </xf>
    <xf numFmtId="10" fontId="15" fillId="0" borderId="20" xfId="0" applyNumberFormat="1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top" wrapText="1"/>
    </xf>
    <xf numFmtId="3" fontId="50" fillId="0" borderId="19" xfId="0" applyNumberFormat="1" applyFont="1" applyBorder="1" applyAlignment="1">
      <alignment horizontal="center" vertical="center" wrapText="1"/>
    </xf>
    <xf numFmtId="9" fontId="15" fillId="0" borderId="19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10" fontId="15" fillId="0" borderId="19" xfId="0" applyNumberFormat="1" applyFont="1" applyBorder="1" applyAlignment="1">
      <alignment horizontal="center" vertical="center" wrapText="1"/>
    </xf>
    <xf numFmtId="10" fontId="15" fillId="0" borderId="19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top" wrapText="1"/>
    </xf>
    <xf numFmtId="9" fontId="15" fillId="0" borderId="0" xfId="0" applyNumberFormat="1" applyFont="1" applyBorder="1" applyAlignment="1">
      <alignment horizontal="center" vertical="center" wrapText="1"/>
    </xf>
    <xf numFmtId="10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3" fontId="12" fillId="0" borderId="0" xfId="0" applyNumberFormat="1" applyFont="1" applyAlignment="1">
      <alignment/>
    </xf>
    <xf numFmtId="49" fontId="15" fillId="47" borderId="0" xfId="0" applyNumberFormat="1" applyFont="1" applyFill="1" applyAlignment="1">
      <alignment horizontal="center" vertical="center"/>
    </xf>
    <xf numFmtId="0" fontId="15" fillId="47" borderId="0" xfId="0" applyFont="1" applyFill="1" applyAlignment="1">
      <alignment horizontal="left" vertical="center" wrapText="1"/>
    </xf>
    <xf numFmtId="0" fontId="15" fillId="47" borderId="0" xfId="0" applyFont="1" applyFill="1" applyAlignment="1">
      <alignment horizontal="center" vertical="center" wrapText="1"/>
    </xf>
    <xf numFmtId="4" fontId="15" fillId="47" borderId="0" xfId="0" applyNumberFormat="1" applyFont="1" applyFill="1" applyAlignment="1">
      <alignment vertical="center"/>
    </xf>
    <xf numFmtId="0" fontId="15" fillId="47" borderId="0" xfId="0" applyFont="1" applyFill="1" applyAlignment="1">
      <alignment vertical="center"/>
    </xf>
    <xf numFmtId="0" fontId="15" fillId="47" borderId="0" xfId="0" applyFont="1" applyFill="1" applyAlignment="1">
      <alignment horizontal="right"/>
    </xf>
    <xf numFmtId="0" fontId="52" fillId="47" borderId="0" xfId="85" applyFont="1" applyFill="1" applyAlignment="1" applyProtection="1">
      <alignment horizontal="right"/>
      <protection/>
    </xf>
    <xf numFmtId="0" fontId="21" fillId="47" borderId="0" xfId="0" applyFont="1" applyFill="1" applyAlignment="1">
      <alignment vertical="center" wrapText="1"/>
    </xf>
    <xf numFmtId="0" fontId="21" fillId="47" borderId="19" xfId="0" applyFont="1" applyFill="1" applyBorder="1" applyAlignment="1">
      <alignment horizontal="center" vertical="center" wrapText="1"/>
    </xf>
    <xf numFmtId="4" fontId="21" fillId="47" borderId="19" xfId="0" applyNumberFormat="1" applyFont="1" applyFill="1" applyBorder="1" applyAlignment="1">
      <alignment horizontal="center" vertical="center" wrapText="1"/>
    </xf>
    <xf numFmtId="4" fontId="21" fillId="47" borderId="20" xfId="0" applyNumberFormat="1" applyFont="1" applyFill="1" applyBorder="1" applyAlignment="1">
      <alignment horizontal="center" vertical="center" wrapText="1"/>
    </xf>
    <xf numFmtId="4" fontId="21" fillId="47" borderId="22" xfId="0" applyNumberFormat="1" applyFont="1" applyFill="1" applyBorder="1" applyAlignment="1">
      <alignment horizontal="center" vertical="center" wrapText="1"/>
    </xf>
    <xf numFmtId="49" fontId="21" fillId="47" borderId="19" xfId="0" applyNumberFormat="1" applyFont="1" applyFill="1" applyBorder="1" applyAlignment="1">
      <alignment horizontal="center" vertical="center" wrapText="1"/>
    </xf>
    <xf numFmtId="0" fontId="21" fillId="47" borderId="19" xfId="0" applyFont="1" applyFill="1" applyBorder="1" applyAlignment="1">
      <alignment horizontal="left" vertical="center" wrapText="1"/>
    </xf>
    <xf numFmtId="0" fontId="1" fillId="47" borderId="19" xfId="98" applyFont="1" applyFill="1" applyBorder="1" applyAlignment="1">
      <alignment vertical="center" wrapText="1"/>
      <protection/>
    </xf>
    <xf numFmtId="4" fontId="21" fillId="47" borderId="19" xfId="98" applyNumberFormat="1" applyFont="1" applyFill="1" applyBorder="1" applyAlignment="1">
      <alignment horizontal="right" vertical="center" wrapText="1"/>
      <protection/>
    </xf>
    <xf numFmtId="4" fontId="21" fillId="47" borderId="21" xfId="98" applyNumberFormat="1" applyFont="1" applyFill="1" applyBorder="1" applyAlignment="1">
      <alignment horizontal="right" vertical="center" wrapText="1"/>
      <protection/>
    </xf>
    <xf numFmtId="3" fontId="21" fillId="47" borderId="19" xfId="98" applyNumberFormat="1" applyFont="1" applyFill="1" applyBorder="1" applyAlignment="1">
      <alignment horizontal="right" vertical="center" wrapText="1"/>
      <protection/>
    </xf>
    <xf numFmtId="3" fontId="21" fillId="47" borderId="19" xfId="0" applyNumberFormat="1" applyFont="1" applyFill="1" applyBorder="1" applyAlignment="1">
      <alignment vertical="center"/>
    </xf>
    <xf numFmtId="0" fontId="15" fillId="47" borderId="19" xfId="0" applyFont="1" applyFill="1" applyBorder="1" applyAlignment="1">
      <alignment vertical="center"/>
    </xf>
    <xf numFmtId="0" fontId="21" fillId="47" borderId="19" xfId="0" applyFont="1" applyFill="1" applyBorder="1" applyAlignment="1">
      <alignment horizontal="center" vertical="center"/>
    </xf>
    <xf numFmtId="0" fontId="15" fillId="47" borderId="19" xfId="0" applyFont="1" applyFill="1" applyBorder="1" applyAlignment="1">
      <alignment horizontal="left" vertical="center" wrapText="1"/>
    </xf>
    <xf numFmtId="3" fontId="15" fillId="47" borderId="19" xfId="0" applyNumberFormat="1" applyFont="1" applyFill="1" applyBorder="1" applyAlignment="1">
      <alignment horizontal="center" vertical="center"/>
    </xf>
    <xf numFmtId="3" fontId="15" fillId="47" borderId="19" xfId="98" applyNumberFormat="1" applyFont="1" applyFill="1" applyBorder="1" applyAlignment="1">
      <alignment vertical="center"/>
      <protection/>
    </xf>
    <xf numFmtId="3" fontId="15" fillId="47" borderId="19" xfId="0" applyNumberFormat="1" applyFont="1" applyFill="1" applyBorder="1" applyAlignment="1">
      <alignment vertical="center"/>
    </xf>
    <xf numFmtId="0" fontId="15" fillId="47" borderId="19" xfId="0" applyFont="1" applyFill="1" applyBorder="1" applyAlignment="1">
      <alignment horizontal="center" vertical="center"/>
    </xf>
    <xf numFmtId="3" fontId="21" fillId="47" borderId="19" xfId="0" applyNumberFormat="1" applyFont="1" applyFill="1" applyBorder="1" applyAlignment="1">
      <alignment horizontal="center" vertical="center"/>
    </xf>
    <xf numFmtId="3" fontId="21" fillId="47" borderId="19" xfId="98" applyNumberFormat="1" applyFont="1" applyFill="1" applyBorder="1" applyAlignment="1">
      <alignment vertical="center"/>
      <protection/>
    </xf>
    <xf numFmtId="0" fontId="21" fillId="47" borderId="19" xfId="0" applyFont="1" applyFill="1" applyBorder="1" applyAlignment="1">
      <alignment vertical="center"/>
    </xf>
    <xf numFmtId="0" fontId="54" fillId="47" borderId="19" xfId="0" applyFont="1" applyFill="1" applyBorder="1" applyAlignment="1">
      <alignment vertical="center"/>
    </xf>
    <xf numFmtId="0" fontId="54" fillId="47" borderId="0" xfId="0" applyFont="1" applyFill="1" applyAlignment="1">
      <alignment vertical="center"/>
    </xf>
    <xf numFmtId="0" fontId="15" fillId="47" borderId="0" xfId="0" applyFont="1" applyFill="1" applyAlignment="1">
      <alignment horizontal="center" vertical="center"/>
    </xf>
    <xf numFmtId="0" fontId="15" fillId="47" borderId="23" xfId="0" applyFont="1" applyFill="1" applyBorder="1" applyAlignment="1">
      <alignment horizontal="left" vertical="center" wrapText="1"/>
    </xf>
    <xf numFmtId="0" fontId="15" fillId="47" borderId="24" xfId="0" applyFont="1" applyFill="1" applyBorder="1" applyAlignment="1">
      <alignment vertical="center" wrapText="1"/>
    </xf>
    <xf numFmtId="0" fontId="15" fillId="47" borderId="19" xfId="0" applyFont="1" applyFill="1" applyBorder="1" applyAlignment="1">
      <alignment vertical="center" wrapText="1"/>
    </xf>
    <xf numFmtId="0" fontId="15" fillId="47" borderId="19" xfId="0" applyFont="1" applyFill="1" applyBorder="1" applyAlignment="1">
      <alignment horizontal="center" vertical="center" wrapText="1"/>
    </xf>
    <xf numFmtId="0" fontId="2" fillId="0" borderId="0" xfId="99" applyFont="1" applyFill="1" applyBorder="1" applyAlignment="1">
      <alignment horizontal="center" vertical="center" wrapText="1"/>
      <protection/>
    </xf>
    <xf numFmtId="4" fontId="2" fillId="0" borderId="0" xfId="99" applyNumberFormat="1" applyFont="1" applyFill="1" applyAlignment="1">
      <alignment horizontal="left" vertical="center" wrapText="1"/>
      <protection/>
    </xf>
    <xf numFmtId="0" fontId="1" fillId="0" borderId="25" xfId="99" applyFont="1" applyFill="1" applyBorder="1" applyAlignment="1">
      <alignment horizontal="center" vertical="center" wrapText="1"/>
      <protection/>
    </xf>
    <xf numFmtId="0" fontId="1" fillId="0" borderId="0" xfId="99" applyFont="1" applyFill="1" applyAlignment="1">
      <alignment horizontal="left" vertical="center" wrapText="1"/>
      <protection/>
    </xf>
    <xf numFmtId="0" fontId="2" fillId="0" borderId="0" xfId="99" applyFont="1" applyFill="1" applyAlignment="1">
      <alignment horizontal="center" vertical="center" wrapText="1"/>
      <protection/>
    </xf>
    <xf numFmtId="0" fontId="2" fillId="0" borderId="0" xfId="99" applyFont="1" applyFill="1" applyAlignment="1">
      <alignment horizontal="left" vertical="center" wrapText="1"/>
      <protection/>
    </xf>
    <xf numFmtId="0" fontId="1" fillId="0" borderId="0" xfId="99" applyFont="1" applyFill="1" applyAlignment="1">
      <alignment horizontal="center" vertical="center" wrapText="1"/>
      <protection/>
    </xf>
    <xf numFmtId="4" fontId="2" fillId="0" borderId="0" xfId="99" applyNumberFormat="1" applyFont="1" applyFill="1" applyAlignment="1">
      <alignment horizontal="center" vertical="center" wrapText="1"/>
      <protection/>
    </xf>
    <xf numFmtId="0" fontId="15" fillId="47" borderId="0" xfId="0" applyFont="1" applyFill="1" applyAlignment="1">
      <alignment horizontal="right"/>
    </xf>
    <xf numFmtId="0" fontId="53" fillId="47" borderId="0" xfId="0" applyFont="1" applyFill="1" applyAlignment="1">
      <alignment horizontal="center" vertical="center" wrapText="1"/>
    </xf>
    <xf numFmtId="0" fontId="53" fillId="47" borderId="0" xfId="0" applyFont="1" applyFill="1" applyAlignment="1">
      <alignment horizontal="left"/>
    </xf>
    <xf numFmtId="0" fontId="54" fillId="47" borderId="0" xfId="0" applyFont="1" applyFill="1" applyAlignment="1">
      <alignment horizontal="left"/>
    </xf>
    <xf numFmtId="0" fontId="21" fillId="47" borderId="0" xfId="0" applyFont="1" applyFill="1" applyAlignment="1">
      <alignment horizontal="left" vertical="center" wrapText="1"/>
    </xf>
    <xf numFmtId="49" fontId="15" fillId="47" borderId="19" xfId="0" applyNumberFormat="1" applyFont="1" applyFill="1" applyBorder="1" applyAlignment="1">
      <alignment horizontal="center" vertical="center" wrapText="1"/>
    </xf>
    <xf numFmtId="0" fontId="21" fillId="47" borderId="19" xfId="0" applyFont="1" applyFill="1" applyBorder="1" applyAlignment="1">
      <alignment horizontal="center" vertical="center" wrapText="1"/>
    </xf>
    <xf numFmtId="0" fontId="15" fillId="47" borderId="19" xfId="0" applyFont="1" applyFill="1" applyBorder="1" applyAlignment="1">
      <alignment horizontal="center" vertical="center" wrapText="1"/>
    </xf>
    <xf numFmtId="4" fontId="15" fillId="47" borderId="19" xfId="0" applyNumberFormat="1" applyFont="1" applyFill="1" applyBorder="1" applyAlignment="1">
      <alignment horizontal="center" vertical="center"/>
    </xf>
    <xf numFmtId="0" fontId="15" fillId="47" borderId="20" xfId="0" applyFont="1" applyFill="1" applyBorder="1" applyAlignment="1">
      <alignment horizontal="center" vertical="center" wrapText="1"/>
    </xf>
    <xf numFmtId="0" fontId="15" fillId="47" borderId="24" xfId="0" applyFont="1" applyFill="1" applyBorder="1" applyAlignment="1">
      <alignment horizontal="center" vertical="center" wrapText="1"/>
    </xf>
    <xf numFmtId="0" fontId="15" fillId="47" borderId="0" xfId="0" applyFont="1" applyFill="1" applyAlignment="1">
      <alignment horizontal="center" vertical="center" wrapText="1"/>
    </xf>
    <xf numFmtId="0" fontId="15" fillId="47" borderId="19" xfId="0" applyFont="1" applyFill="1" applyBorder="1" applyAlignment="1">
      <alignment horizontal="center" vertical="center"/>
    </xf>
    <xf numFmtId="4" fontId="21" fillId="47" borderId="21" xfId="0" applyNumberFormat="1" applyFont="1" applyFill="1" applyBorder="1" applyAlignment="1">
      <alignment horizontal="center" vertical="center" wrapText="1"/>
    </xf>
    <xf numFmtId="4" fontId="21" fillId="47" borderId="26" xfId="0" applyNumberFormat="1" applyFont="1" applyFill="1" applyBorder="1" applyAlignment="1">
      <alignment horizontal="center" vertical="center" wrapText="1"/>
    </xf>
    <xf numFmtId="4" fontId="21" fillId="47" borderId="27" xfId="0" applyNumberFormat="1" applyFont="1" applyFill="1" applyBorder="1" applyAlignment="1">
      <alignment horizontal="center" vertical="center" wrapText="1"/>
    </xf>
    <xf numFmtId="4" fontId="21" fillId="47" borderId="19" xfId="0" applyNumberFormat="1" applyFont="1" applyFill="1" applyBorder="1" applyAlignment="1">
      <alignment horizontal="center" vertical="center" wrapText="1"/>
    </xf>
    <xf numFmtId="0" fontId="21" fillId="47" borderId="19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</cellXfs>
  <cellStyles count="96">
    <cellStyle name="Normal" xfId="0"/>
    <cellStyle name="0,0&#13;&#10;NA&#13;&#10;" xfId="15"/>
    <cellStyle name="0,0&#13;&#10;NA&#13;&#10;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Акцент1" xfId="35"/>
    <cellStyle name="40% - Акцент2" xfId="36"/>
    <cellStyle name="40% - Акцент3" xfId="37"/>
    <cellStyle name="40% - Акцент4" xfId="38"/>
    <cellStyle name="40% - Акцент5" xfId="39"/>
    <cellStyle name="40% - Акцент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Акцент1" xfId="47"/>
    <cellStyle name="60% - Акцент2" xfId="48"/>
    <cellStyle name="60% - Акцент3" xfId="49"/>
    <cellStyle name="60% - Акцент4" xfId="50"/>
    <cellStyle name="60% - Акцент5" xfId="51"/>
    <cellStyle name="60% - Акцент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heck Cel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3" xfId="98"/>
    <cellStyle name="Обычный_Тарифная смета 2010-2012 г.г. для директора  пояснит зап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3;&#1086;&#1074;&#1072;&#1103;%20&#1087;&#1072;&#1087;&#1082;&#1072;%20&#1057;\&#1044;&#1080;&#1089;&#1082;%20D\&#1052;&#1056;&#1069;&#1058;%202012%20&#1075;&#1086;&#1076;&#1072;\&#1041;&#1102;&#1076;&#1078;&#1077;&#1090;%202012%20&#1075;\&#1048;&#1089;&#1087;&#1086;&#1083;&#1085;&#1077;&#1085;&#1080;&#1077;%20&#1041;&#1070;&#1044;&#1046;&#1045;&#1058;&#1072;%20%202012%20&#1075;&#1086;&#1076;&#1072;%20%2010.09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Приход денежных средств"/>
      <sheetName val="фот"/>
      <sheetName val="смета"/>
      <sheetName val="Прибыль"/>
      <sheetName val="План закупок"/>
      <sheetName val="Поверка 2012 "/>
      <sheetName val="ХН и ТП в бюджет"/>
      <sheetName val="кредит"/>
      <sheetName val="ХН и ТП тар смета"/>
      <sheetName val="Ком услуги в тариф смету"/>
      <sheetName val="Сумма вознагражд"/>
      <sheetName val="Охрана труда"/>
      <sheetName val="Инвестпрограмма"/>
      <sheetName val="Иная деятельность"/>
      <sheetName val="КТж"/>
      <sheetName val="Коммунальные"/>
      <sheetName val="Объем услуг"/>
      <sheetName val="План закупа"/>
      <sheetName val="КР"/>
      <sheetName val="ФОТ по АД и КД"/>
      <sheetName val="усл связи"/>
      <sheetName val="КР СМ"/>
      <sheetName val="Расходные для выч тех"/>
      <sheetName val="СДТУ"/>
      <sheetName val="Реестр договоров"/>
      <sheetName val="Подготовка кадров"/>
      <sheetName val="Командиров"/>
      <sheetName val="ГСМ скорректирован"/>
      <sheetName val="ГСМ"/>
      <sheetName val="Лист5"/>
    </sheetNames>
    <sheetDataSet>
      <sheetData sheetId="1">
        <row r="45">
          <cell r="C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l:39695703.100%20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5"/>
  <sheetViews>
    <sheetView showZeros="0" zoomScale="75" zoomScaleNormal="75" zoomScalePageLayoutView="0" workbookViewId="0" topLeftCell="A1">
      <pane xSplit="5" ySplit="7" topLeftCell="N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U9" sqref="U9"/>
    </sheetView>
  </sheetViews>
  <sheetFormatPr defaultColWidth="9.00390625" defaultRowHeight="12.75"/>
  <cols>
    <col min="1" max="1" width="6.875" style="2" customWidth="1"/>
    <col min="2" max="2" width="51.625" style="3" customWidth="1"/>
    <col min="3" max="3" width="15.00390625" style="4" customWidth="1"/>
    <col min="4" max="4" width="33.625" style="4" hidden="1" customWidth="1"/>
    <col min="5" max="5" width="15.00390625" style="4" hidden="1" customWidth="1"/>
    <col min="6" max="6" width="12.875" style="4" customWidth="1"/>
    <col min="7" max="7" width="14.375" style="4" customWidth="1"/>
    <col min="8" max="8" width="12.875" style="4" hidden="1" customWidth="1"/>
    <col min="9" max="10" width="14.375" style="2" customWidth="1"/>
    <col min="11" max="11" width="14.625" style="2" customWidth="1"/>
    <col min="12" max="12" width="14.00390625" style="2" customWidth="1"/>
    <col min="13" max="13" width="14.375" style="2" customWidth="1"/>
    <col min="14" max="14" width="14.625" style="2" customWidth="1"/>
    <col min="15" max="15" width="13.625" style="2" customWidth="1"/>
    <col min="16" max="16" width="13.00390625" style="2" customWidth="1"/>
    <col min="17" max="17" width="14.625" style="2" customWidth="1"/>
    <col min="18" max="18" width="13.375" style="2" customWidth="1"/>
    <col min="19" max="19" width="13.875" style="2" customWidth="1"/>
    <col min="20" max="20" width="13.625" style="2" customWidth="1"/>
    <col min="21" max="21" width="14.875" style="2" customWidth="1"/>
    <col min="22" max="22" width="13.625" style="5" customWidth="1"/>
    <col min="23" max="23" width="14.625" style="5" customWidth="1"/>
    <col min="24" max="25" width="14.875" style="2" hidden="1" customWidth="1"/>
    <col min="26" max="28" width="9.125" style="2" customWidth="1"/>
    <col min="29" max="29" width="13.00390625" style="2" customWidth="1"/>
    <col min="30" max="30" width="13.625" style="2" customWidth="1"/>
    <col min="31" max="16384" width="9.125" style="2" customWidth="1"/>
  </cols>
  <sheetData>
    <row r="1" spans="2:23" ht="15.75">
      <c r="B1" s="73" t="s">
        <v>166</v>
      </c>
      <c r="U1" s="212" t="s">
        <v>172</v>
      </c>
      <c r="V1" s="212"/>
      <c r="W1" s="212"/>
    </row>
    <row r="2" spans="2:23" ht="31.5">
      <c r="B2" s="3" t="s">
        <v>167</v>
      </c>
      <c r="U2" s="213" t="s">
        <v>46</v>
      </c>
      <c r="V2" s="213"/>
      <c r="W2" s="213"/>
    </row>
    <row r="3" spans="2:23" ht="15.75">
      <c r="B3" s="3" t="s">
        <v>168</v>
      </c>
      <c r="I3" s="71"/>
      <c r="J3" s="71"/>
      <c r="M3" s="5"/>
      <c r="Q3" s="5"/>
      <c r="S3" s="5"/>
      <c r="U3" s="214" t="s">
        <v>169</v>
      </c>
      <c r="V3" s="214"/>
      <c r="W3" s="214"/>
    </row>
    <row r="4" spans="7:23" ht="15.75">
      <c r="G4" s="54"/>
      <c r="I4" s="71"/>
      <c r="J4" s="71"/>
      <c r="M4" s="5"/>
      <c r="N4" s="5"/>
      <c r="Q4" s="5"/>
      <c r="S4" s="5"/>
      <c r="U4" s="3"/>
      <c r="V4" s="3"/>
      <c r="W4" s="3"/>
    </row>
    <row r="5" spans="1:23" ht="15.75">
      <c r="A5" s="215" t="s">
        <v>199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</row>
    <row r="6" spans="1:23" ht="15.75">
      <c r="A6" s="211" t="s">
        <v>200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</row>
    <row r="7" spans="1:23" ht="86.25" customHeight="1">
      <c r="A7" s="55" t="s">
        <v>137</v>
      </c>
      <c r="B7" s="55" t="s">
        <v>138</v>
      </c>
      <c r="C7" s="103" t="s">
        <v>139</v>
      </c>
      <c r="D7" s="6" t="s">
        <v>140</v>
      </c>
      <c r="E7" s="6" t="s">
        <v>141</v>
      </c>
      <c r="F7" s="55" t="s">
        <v>201</v>
      </c>
      <c r="G7" s="55" t="s">
        <v>202</v>
      </c>
      <c r="H7" s="116" t="s">
        <v>203</v>
      </c>
      <c r="I7" s="90" t="s">
        <v>131</v>
      </c>
      <c r="J7" s="90" t="s">
        <v>132</v>
      </c>
      <c r="K7" s="90" t="s">
        <v>133</v>
      </c>
      <c r="L7" s="90" t="s">
        <v>134</v>
      </c>
      <c r="M7" s="90" t="s">
        <v>102</v>
      </c>
      <c r="N7" s="90" t="s">
        <v>103</v>
      </c>
      <c r="O7" s="90" t="s">
        <v>104</v>
      </c>
      <c r="P7" s="7" t="s">
        <v>105</v>
      </c>
      <c r="Q7" s="7" t="s">
        <v>106</v>
      </c>
      <c r="R7" s="7" t="s">
        <v>107</v>
      </c>
      <c r="S7" s="7" t="s">
        <v>108</v>
      </c>
      <c r="T7" s="7" t="s">
        <v>109</v>
      </c>
      <c r="U7" s="88" t="s">
        <v>142</v>
      </c>
      <c r="V7" s="56" t="s">
        <v>246</v>
      </c>
      <c r="W7" s="56" t="s">
        <v>247</v>
      </c>
    </row>
    <row r="8" spans="1:23" ht="15.75">
      <c r="A8" s="10"/>
      <c r="B8" s="11" t="s">
        <v>263</v>
      </c>
      <c r="C8" s="6"/>
      <c r="D8" s="6"/>
      <c r="E8" s="6"/>
      <c r="F8" s="12"/>
      <c r="G8" s="12"/>
      <c r="H8" s="12">
        <v>6870.64</v>
      </c>
      <c r="I8" s="13">
        <v>1664.701</v>
      </c>
      <c r="J8" s="13" t="e">
        <f aca="true" t="shared" si="0" ref="J8:T8">I19</f>
        <v>#REF!</v>
      </c>
      <c r="K8" s="13" t="e">
        <f t="shared" si="0"/>
        <v>#REF!</v>
      </c>
      <c r="L8" s="13" t="e">
        <f t="shared" si="0"/>
        <v>#REF!</v>
      </c>
      <c r="M8" s="13" t="e">
        <f t="shared" si="0"/>
        <v>#REF!</v>
      </c>
      <c r="N8" s="13" t="e">
        <f t="shared" si="0"/>
        <v>#REF!</v>
      </c>
      <c r="O8" s="13" t="e">
        <f t="shared" si="0"/>
        <v>#REF!</v>
      </c>
      <c r="P8" s="13" t="e">
        <f t="shared" si="0"/>
        <v>#REF!</v>
      </c>
      <c r="Q8" s="13" t="e">
        <f t="shared" si="0"/>
        <v>#REF!</v>
      </c>
      <c r="R8" s="13" t="e">
        <f t="shared" si="0"/>
        <v>#REF!</v>
      </c>
      <c r="S8" s="13" t="e">
        <f t="shared" si="0"/>
        <v>#REF!</v>
      </c>
      <c r="T8" s="13" t="e">
        <f t="shared" si="0"/>
        <v>#REF!</v>
      </c>
      <c r="U8" s="13">
        <f>I8</f>
        <v>1664.701</v>
      </c>
      <c r="V8" s="15"/>
      <c r="W8" s="15"/>
    </row>
    <row r="9" spans="1:23" ht="15.75">
      <c r="A9" s="10" t="s">
        <v>264</v>
      </c>
      <c r="B9" s="11" t="s">
        <v>265</v>
      </c>
      <c r="C9" s="6" t="s">
        <v>266</v>
      </c>
      <c r="D9" s="6"/>
      <c r="E9" s="6"/>
      <c r="F9" s="17"/>
      <c r="G9" s="17"/>
      <c r="H9" s="17">
        <v>1323795.9877</v>
      </c>
      <c r="I9" s="17" t="e">
        <f>#REF!</f>
        <v>#REF!</v>
      </c>
      <c r="J9" s="17" t="e">
        <f>#REF!</f>
        <v>#REF!</v>
      </c>
      <c r="K9" s="17" t="e">
        <f>#REF!</f>
        <v>#REF!</v>
      </c>
      <c r="L9" s="17" t="e">
        <f>#REF!</f>
        <v>#REF!</v>
      </c>
      <c r="M9" s="17" t="e">
        <f>#REF!</f>
        <v>#REF!</v>
      </c>
      <c r="N9" s="17" t="e">
        <f>#REF!</f>
        <v>#REF!</v>
      </c>
      <c r="O9" s="17" t="e">
        <f>#REF!</f>
        <v>#REF!</v>
      </c>
      <c r="P9" s="17" t="e">
        <f>#REF!</f>
        <v>#REF!</v>
      </c>
      <c r="Q9" s="17" t="e">
        <f>#REF!</f>
        <v>#REF!</v>
      </c>
      <c r="R9" s="17" t="e">
        <f>#REF!</f>
        <v>#REF!</v>
      </c>
      <c r="S9" s="17" t="e">
        <f>#REF!</f>
        <v>#REF!</v>
      </c>
      <c r="T9" s="17" t="e">
        <f>#REF!</f>
        <v>#REF!</v>
      </c>
      <c r="U9" s="17" t="e">
        <f>SUM(I9:T9)</f>
        <v>#REF!</v>
      </c>
      <c r="V9" s="15"/>
      <c r="W9" s="15"/>
    </row>
    <row r="10" spans="1:23" ht="15.75">
      <c r="A10" s="10"/>
      <c r="B10" s="11" t="s">
        <v>267</v>
      </c>
      <c r="C10" s="6" t="s">
        <v>268</v>
      </c>
      <c r="D10" s="6"/>
      <c r="E10" s="6"/>
      <c r="F10" s="12"/>
      <c r="G10" s="12"/>
      <c r="H10" s="99">
        <v>1.736</v>
      </c>
      <c r="I10" s="99">
        <v>1.891</v>
      </c>
      <c r="J10" s="99">
        <v>1.891</v>
      </c>
      <c r="K10" s="99">
        <v>1.891</v>
      </c>
      <c r="L10" s="99">
        <v>1.891</v>
      </c>
      <c r="M10" s="99">
        <v>1.891</v>
      </c>
      <c r="N10" s="99">
        <v>1.891</v>
      </c>
      <c r="O10" s="99">
        <v>1.891</v>
      </c>
      <c r="P10" s="99">
        <v>1.891</v>
      </c>
      <c r="Q10" s="99">
        <v>1.891</v>
      </c>
      <c r="R10" s="99">
        <v>1.891</v>
      </c>
      <c r="S10" s="99">
        <v>1.891</v>
      </c>
      <c r="T10" s="99">
        <v>1.891</v>
      </c>
      <c r="U10" s="99">
        <v>1.891</v>
      </c>
      <c r="V10" s="15"/>
      <c r="W10" s="15"/>
    </row>
    <row r="11" spans="1:23" ht="15.75">
      <c r="A11" s="10" t="s">
        <v>269</v>
      </c>
      <c r="B11" s="11" t="s">
        <v>125</v>
      </c>
      <c r="C11" s="6" t="s">
        <v>126</v>
      </c>
      <c r="D11" s="6"/>
      <c r="E11" s="6"/>
      <c r="F11" s="17" t="e">
        <f>F13+F17+F18</f>
        <v>#REF!</v>
      </c>
      <c r="G11" s="17" t="e">
        <f>G13+G17+G18</f>
        <v>#REF!</v>
      </c>
      <c r="H11" s="17">
        <v>2752030.341169063</v>
      </c>
      <c r="I11" s="17" t="e">
        <f>I15+I17+I18</f>
        <v>#REF!</v>
      </c>
      <c r="J11" s="17" t="e">
        <f aca="true" t="shared" si="1" ref="J11:T11">J15+J17+J18</f>
        <v>#REF!</v>
      </c>
      <c r="K11" s="17" t="e">
        <f t="shared" si="1"/>
        <v>#REF!</v>
      </c>
      <c r="L11" s="17" t="e">
        <f t="shared" si="1"/>
        <v>#REF!</v>
      </c>
      <c r="M11" s="17" t="e">
        <f t="shared" si="1"/>
        <v>#REF!</v>
      </c>
      <c r="N11" s="17" t="e">
        <f t="shared" si="1"/>
        <v>#REF!</v>
      </c>
      <c r="O11" s="17" t="e">
        <f t="shared" si="1"/>
        <v>#REF!</v>
      </c>
      <c r="P11" s="17" t="e">
        <f t="shared" si="1"/>
        <v>#REF!</v>
      </c>
      <c r="Q11" s="17" t="e">
        <f t="shared" si="1"/>
        <v>#REF!</v>
      </c>
      <c r="R11" s="17" t="e">
        <f t="shared" si="1"/>
        <v>#REF!</v>
      </c>
      <c r="S11" s="17" t="e">
        <f t="shared" si="1"/>
        <v>#REF!</v>
      </c>
      <c r="T11" s="17" t="e">
        <f t="shared" si="1"/>
        <v>#REF!</v>
      </c>
      <c r="U11" s="17" t="e">
        <f>U15+U17+U18</f>
        <v>#REF!</v>
      </c>
      <c r="V11" s="17" t="e">
        <f>V15+V17+V18</f>
        <v>#REF!</v>
      </c>
      <c r="W11" s="17" t="e">
        <f>W15+W17+W18</f>
        <v>#REF!</v>
      </c>
    </row>
    <row r="12" spans="1:23" ht="15.75">
      <c r="A12" s="9"/>
      <c r="B12" s="18" t="s">
        <v>127</v>
      </c>
      <c r="C12" s="19"/>
      <c r="D12" s="19"/>
      <c r="E12" s="19"/>
      <c r="F12" s="8"/>
      <c r="G12" s="8"/>
      <c r="H12" s="8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7"/>
      <c r="V12" s="15"/>
      <c r="W12" s="15"/>
    </row>
    <row r="13" spans="1:23" ht="31.5">
      <c r="A13" s="9"/>
      <c r="B13" s="18" t="s">
        <v>128</v>
      </c>
      <c r="C13" s="19" t="s">
        <v>126</v>
      </c>
      <c r="D13" s="19"/>
      <c r="E13" s="19"/>
      <c r="F13" s="13" t="e">
        <f>F15+F16</f>
        <v>#REF!</v>
      </c>
      <c r="G13" s="13" t="e">
        <f>G15+G16</f>
        <v>#REF!</v>
      </c>
      <c r="H13" s="13">
        <v>2648349.119881985</v>
      </c>
      <c r="I13" s="13" t="e">
        <f>I15+I16</f>
        <v>#REF!</v>
      </c>
      <c r="J13" s="13" t="e">
        <f aca="true" t="shared" si="2" ref="J13:T13">J15+J16</f>
        <v>#REF!</v>
      </c>
      <c r="K13" s="13" t="e">
        <f t="shared" si="2"/>
        <v>#REF!</v>
      </c>
      <c r="L13" s="13" t="e">
        <f t="shared" si="2"/>
        <v>#REF!</v>
      </c>
      <c r="M13" s="13" t="e">
        <f t="shared" si="2"/>
        <v>#REF!</v>
      </c>
      <c r="N13" s="13" t="e">
        <f t="shared" si="2"/>
        <v>#REF!</v>
      </c>
      <c r="O13" s="13" t="e">
        <f t="shared" si="2"/>
        <v>#REF!</v>
      </c>
      <c r="P13" s="13" t="e">
        <f t="shared" si="2"/>
        <v>#REF!</v>
      </c>
      <c r="Q13" s="13" t="e">
        <f t="shared" si="2"/>
        <v>#REF!</v>
      </c>
      <c r="R13" s="13" t="e">
        <f t="shared" si="2"/>
        <v>#REF!</v>
      </c>
      <c r="S13" s="13" t="e">
        <f t="shared" si="2"/>
        <v>#REF!</v>
      </c>
      <c r="T13" s="13" t="e">
        <f t="shared" si="2"/>
        <v>#REF!</v>
      </c>
      <c r="U13" s="13" t="e">
        <f aca="true" t="shared" si="3" ref="U13:U18">SUM(I13:T13)</f>
        <v>#REF!</v>
      </c>
      <c r="V13" s="15" t="e">
        <f>#REF!</f>
        <v>#REF!</v>
      </c>
      <c r="W13" s="15" t="e">
        <f>#REF!</f>
        <v>#REF!</v>
      </c>
    </row>
    <row r="14" spans="1:23" ht="15.75">
      <c r="A14" s="9"/>
      <c r="B14" s="18" t="s">
        <v>127</v>
      </c>
      <c r="C14" s="19"/>
      <c r="D14" s="19"/>
      <c r="E14" s="19"/>
      <c r="F14" s="8"/>
      <c r="G14" s="8"/>
      <c r="H14" s="8">
        <v>0</v>
      </c>
      <c r="I14" s="13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3">
        <f t="shared" si="3"/>
        <v>0</v>
      </c>
      <c r="V14" s="15"/>
      <c r="W14" s="15"/>
    </row>
    <row r="15" spans="1:23" ht="15.75">
      <c r="A15" s="9"/>
      <c r="B15" s="18" t="s">
        <v>261</v>
      </c>
      <c r="C15" s="19" t="s">
        <v>126</v>
      </c>
      <c r="D15" s="19"/>
      <c r="E15" s="19"/>
      <c r="F15" s="13" t="e">
        <f>#REF!</f>
        <v>#REF!</v>
      </c>
      <c r="G15" s="13" t="e">
        <f>#REF!</f>
        <v>#REF!</v>
      </c>
      <c r="H15" s="13">
        <v>2648349.119881985</v>
      </c>
      <c r="I15" s="13" t="e">
        <f>#REF!+23000</f>
        <v>#REF!</v>
      </c>
      <c r="J15" s="13" t="e">
        <f>#REF!-23000</f>
        <v>#REF!</v>
      </c>
      <c r="K15" s="13" t="e">
        <f>#REF!</f>
        <v>#REF!</v>
      </c>
      <c r="L15" s="13" t="e">
        <f>#REF!</f>
        <v>#REF!</v>
      </c>
      <c r="M15" s="13" t="e">
        <f>#REF!</f>
        <v>#REF!</v>
      </c>
      <c r="N15" s="13" t="e">
        <f>#REF!</f>
        <v>#REF!</v>
      </c>
      <c r="O15" s="13" t="e">
        <f>#REF!</f>
        <v>#REF!</v>
      </c>
      <c r="P15" s="13" t="e">
        <f>#REF!</f>
        <v>#REF!</v>
      </c>
      <c r="Q15" s="13" t="e">
        <f>#REF!</f>
        <v>#REF!</v>
      </c>
      <c r="R15" s="13" t="e">
        <f>#REF!</f>
        <v>#REF!</v>
      </c>
      <c r="S15" s="13" t="e">
        <f>#REF!</f>
        <v>#REF!</v>
      </c>
      <c r="T15" s="13" t="e">
        <f>#REF!</f>
        <v>#REF!</v>
      </c>
      <c r="U15" s="13" t="e">
        <f t="shared" si="3"/>
        <v>#REF!</v>
      </c>
      <c r="V15" s="15" t="e">
        <f>#REF!</f>
        <v>#REF!</v>
      </c>
      <c r="W15" s="15" t="e">
        <f>#REF!</f>
        <v>#REF!</v>
      </c>
    </row>
    <row r="16" spans="1:23" s="25" customFormat="1" ht="15.75">
      <c r="A16" s="20"/>
      <c r="B16" s="21" t="s">
        <v>262</v>
      </c>
      <c r="C16" s="22" t="s">
        <v>126</v>
      </c>
      <c r="D16" s="22"/>
      <c r="E16" s="22"/>
      <c r="F16" s="23" t="e">
        <f>#REF!</f>
        <v>#REF!</v>
      </c>
      <c r="G16" s="23">
        <f>'[1]Приход денежных средств'!C45</f>
        <v>0</v>
      </c>
      <c r="H16" s="23"/>
      <c r="I16" s="23" t="e">
        <f>#REF!</f>
        <v>#REF!</v>
      </c>
      <c r="J16" s="23" t="e">
        <f>#REF!</f>
        <v>#REF!</v>
      </c>
      <c r="K16" s="23" t="e">
        <f>#REF!</f>
        <v>#REF!</v>
      </c>
      <c r="L16" s="23" t="e">
        <f>#REF!</f>
        <v>#REF!</v>
      </c>
      <c r="M16" s="23" t="e">
        <f>#REF!</f>
        <v>#REF!</v>
      </c>
      <c r="N16" s="23" t="e">
        <f>#REF!</f>
        <v>#REF!</v>
      </c>
      <c r="O16" s="23" t="e">
        <f>#REF!</f>
        <v>#REF!</v>
      </c>
      <c r="P16" s="23" t="e">
        <f>#REF!</f>
        <v>#REF!</v>
      </c>
      <c r="Q16" s="23" t="e">
        <f>#REF!</f>
        <v>#REF!</v>
      </c>
      <c r="R16" s="23" t="e">
        <f>#REF!</f>
        <v>#REF!</v>
      </c>
      <c r="S16" s="23" t="e">
        <f>#REF!</f>
        <v>#REF!</v>
      </c>
      <c r="T16" s="23" t="e">
        <f>#REF!</f>
        <v>#REF!</v>
      </c>
      <c r="U16" s="23" t="e">
        <f t="shared" si="3"/>
        <v>#REF!</v>
      </c>
      <c r="V16" s="15"/>
      <c r="W16" s="24"/>
    </row>
    <row r="17" spans="1:23" ht="31.5">
      <c r="A17" s="9"/>
      <c r="B17" s="18" t="s">
        <v>1</v>
      </c>
      <c r="C17" s="19" t="s">
        <v>126</v>
      </c>
      <c r="D17" s="19"/>
      <c r="E17" s="19"/>
      <c r="F17" s="13">
        <v>4129.86</v>
      </c>
      <c r="G17" s="13"/>
      <c r="H17" s="13">
        <v>100547.38028707808</v>
      </c>
      <c r="I17" s="13" t="e">
        <f>#REF!*1.12</f>
        <v>#REF!</v>
      </c>
      <c r="J17" s="13" t="e">
        <f>#REF!*1.12</f>
        <v>#REF!</v>
      </c>
      <c r="K17" s="13" t="e">
        <f>#REF!*1.12</f>
        <v>#REF!</v>
      </c>
      <c r="L17" s="13" t="e">
        <f>#REF!*1.12</f>
        <v>#REF!</v>
      </c>
      <c r="M17" s="13" t="e">
        <f>#REF!*1.12</f>
        <v>#REF!</v>
      </c>
      <c r="N17" s="13" t="e">
        <f>#REF!*1.12</f>
        <v>#REF!</v>
      </c>
      <c r="O17" s="13" t="e">
        <f>#REF!*1.12</f>
        <v>#REF!</v>
      </c>
      <c r="P17" s="13" t="e">
        <f>#REF!*1.12</f>
        <v>#REF!</v>
      </c>
      <c r="Q17" s="13" t="e">
        <f>#REF!*1.12</f>
        <v>#REF!</v>
      </c>
      <c r="R17" s="13" t="e">
        <f>#REF!*1.12</f>
        <v>#REF!</v>
      </c>
      <c r="S17" s="13" t="e">
        <f>#REF!*1.12</f>
        <v>#REF!</v>
      </c>
      <c r="T17" s="13" t="e">
        <f>#REF!*1.12</f>
        <v>#REF!</v>
      </c>
      <c r="U17" s="13" t="e">
        <f t="shared" si="3"/>
        <v>#REF!</v>
      </c>
      <c r="V17" s="15"/>
      <c r="W17" s="15"/>
    </row>
    <row r="18" spans="1:23" ht="15.75">
      <c r="A18" s="9"/>
      <c r="B18" s="18" t="s">
        <v>2</v>
      </c>
      <c r="C18" s="19" t="s">
        <v>126</v>
      </c>
      <c r="D18" s="19"/>
      <c r="E18" s="19"/>
      <c r="F18" s="13">
        <f>66+8859.669</f>
        <v>8925.669</v>
      </c>
      <c r="G18" s="13">
        <f>80+164.507</f>
        <v>244.507</v>
      </c>
      <c r="H18" s="13">
        <v>3133.841</v>
      </c>
      <c r="I18" s="26"/>
      <c r="J18" s="9"/>
      <c r="K18" s="87"/>
      <c r="L18" s="9"/>
      <c r="M18" s="9"/>
      <c r="N18" s="9"/>
      <c r="O18" s="9"/>
      <c r="P18" s="87"/>
      <c r="Q18" s="13"/>
      <c r="R18" s="9"/>
      <c r="S18" s="9"/>
      <c r="T18" s="9"/>
      <c r="U18" s="23">
        <f t="shared" si="3"/>
        <v>0</v>
      </c>
      <c r="V18" s="15">
        <v>8859.669</v>
      </c>
      <c r="W18" s="15"/>
    </row>
    <row r="19" spans="1:24" s="32" customFormat="1" ht="18.75">
      <c r="A19" s="27"/>
      <c r="B19" s="28" t="s">
        <v>3</v>
      </c>
      <c r="C19" s="27" t="s">
        <v>126</v>
      </c>
      <c r="D19" s="27"/>
      <c r="E19" s="27"/>
      <c r="F19" s="29"/>
      <c r="G19" s="29"/>
      <c r="H19" s="29">
        <v>22356.847735630814</v>
      </c>
      <c r="I19" s="30" t="e">
        <f>I8+I11+I20-I21-I23-I26</f>
        <v>#REF!</v>
      </c>
      <c r="J19" s="30" t="e">
        <f aca="true" t="shared" si="4" ref="J19:U19">J8+J11+J20-J21-J23-J26</f>
        <v>#REF!</v>
      </c>
      <c r="K19" s="30" t="e">
        <f t="shared" si="4"/>
        <v>#REF!</v>
      </c>
      <c r="L19" s="30" t="e">
        <f t="shared" si="4"/>
        <v>#REF!</v>
      </c>
      <c r="M19" s="30" t="e">
        <f t="shared" si="4"/>
        <v>#REF!</v>
      </c>
      <c r="N19" s="30" t="e">
        <f t="shared" si="4"/>
        <v>#REF!</v>
      </c>
      <c r="O19" s="30" t="e">
        <f t="shared" si="4"/>
        <v>#REF!</v>
      </c>
      <c r="P19" s="30" t="e">
        <f t="shared" si="4"/>
        <v>#REF!</v>
      </c>
      <c r="Q19" s="30" t="e">
        <f t="shared" si="4"/>
        <v>#REF!</v>
      </c>
      <c r="R19" s="30" t="e">
        <f t="shared" si="4"/>
        <v>#REF!</v>
      </c>
      <c r="S19" s="30" t="e">
        <f t="shared" si="4"/>
        <v>#REF!</v>
      </c>
      <c r="T19" s="30" t="e">
        <f t="shared" si="4"/>
        <v>#REF!</v>
      </c>
      <c r="U19" s="30" t="e">
        <f t="shared" si="4"/>
        <v>#REF!</v>
      </c>
      <c r="V19" s="31"/>
      <c r="W19" s="31"/>
      <c r="X19" s="122" t="e">
        <f>U19-T19</f>
        <v>#REF!</v>
      </c>
    </row>
    <row r="20" spans="1:23" s="38" customFormat="1" ht="15.75">
      <c r="A20" s="96"/>
      <c r="B20" s="97" t="s">
        <v>187</v>
      </c>
      <c r="C20" s="77" t="s">
        <v>126</v>
      </c>
      <c r="D20" s="77"/>
      <c r="E20" s="77"/>
      <c r="F20" s="94"/>
      <c r="G20" s="95"/>
      <c r="H20" s="95">
        <v>255800</v>
      </c>
      <c r="I20" s="98"/>
      <c r="J20" s="98">
        <v>100000</v>
      </c>
      <c r="K20" s="98">
        <v>41000</v>
      </c>
      <c r="L20" s="98">
        <v>58000</v>
      </c>
      <c r="M20" s="98"/>
      <c r="N20" s="98"/>
      <c r="O20" s="98"/>
      <c r="P20" s="98"/>
      <c r="Q20" s="98"/>
      <c r="R20" s="98"/>
      <c r="S20" s="98"/>
      <c r="T20" s="98"/>
      <c r="U20" s="95">
        <f>SUM(I20:T20)</f>
        <v>199000</v>
      </c>
      <c r="V20" s="98"/>
      <c r="W20" s="100"/>
    </row>
    <row r="21" spans="1:23" s="40" customFormat="1" ht="15.75">
      <c r="A21" s="139"/>
      <c r="B21" s="140" t="s">
        <v>171</v>
      </c>
      <c r="C21" s="141" t="s">
        <v>126</v>
      </c>
      <c r="D21" s="141"/>
      <c r="E21" s="141"/>
      <c r="F21" s="142"/>
      <c r="G21" s="143"/>
      <c r="H21" s="143"/>
      <c r="I21" s="144"/>
      <c r="J21" s="144"/>
      <c r="K21" s="144"/>
      <c r="L21" s="144"/>
      <c r="M21" s="144"/>
      <c r="N21" s="144">
        <v>11000</v>
      </c>
      <c r="O21" s="144">
        <v>6000</v>
      </c>
      <c r="P21" s="144">
        <v>28000</v>
      </c>
      <c r="Q21" s="144">
        <v>25000</v>
      </c>
      <c r="R21" s="144">
        <v>56000</v>
      </c>
      <c r="S21" s="144">
        <v>50000</v>
      </c>
      <c r="T21" s="144">
        <v>23000</v>
      </c>
      <c r="U21" s="143">
        <f>SUM(I21:T21)</f>
        <v>199000</v>
      </c>
      <c r="V21" s="144"/>
      <c r="W21" s="100"/>
    </row>
    <row r="22" spans="1:23" s="38" customFormat="1" ht="15.75">
      <c r="A22" s="96"/>
      <c r="B22" s="97" t="s">
        <v>14</v>
      </c>
      <c r="C22" s="77" t="s">
        <v>126</v>
      </c>
      <c r="D22" s="77"/>
      <c r="E22" s="77"/>
      <c r="F22" s="94"/>
      <c r="G22" s="95"/>
      <c r="H22" s="95"/>
      <c r="I22" s="98">
        <f>I20</f>
        <v>0</v>
      </c>
      <c r="J22" s="98">
        <f>J20-J21</f>
        <v>100000</v>
      </c>
      <c r="K22" s="98">
        <f aca="true" t="shared" si="5" ref="K22:T22">J22+K20-K21</f>
        <v>141000</v>
      </c>
      <c r="L22" s="98">
        <f t="shared" si="5"/>
        <v>199000</v>
      </c>
      <c r="M22" s="98">
        <f t="shared" si="5"/>
        <v>199000</v>
      </c>
      <c r="N22" s="98">
        <f t="shared" si="5"/>
        <v>188000</v>
      </c>
      <c r="O22" s="98">
        <f t="shared" si="5"/>
        <v>182000</v>
      </c>
      <c r="P22" s="98">
        <f t="shared" si="5"/>
        <v>154000</v>
      </c>
      <c r="Q22" s="98">
        <f t="shared" si="5"/>
        <v>129000</v>
      </c>
      <c r="R22" s="98">
        <f t="shared" si="5"/>
        <v>73000</v>
      </c>
      <c r="S22" s="98">
        <f t="shared" si="5"/>
        <v>23000</v>
      </c>
      <c r="T22" s="98">
        <f t="shared" si="5"/>
        <v>0</v>
      </c>
      <c r="U22" s="95"/>
      <c r="V22" s="98"/>
      <c r="W22" s="100"/>
    </row>
    <row r="23" spans="1:23" s="38" customFormat="1" ht="15.75">
      <c r="A23" s="96"/>
      <c r="B23" s="97" t="s">
        <v>13</v>
      </c>
      <c r="C23" s="77" t="s">
        <v>126</v>
      </c>
      <c r="D23" s="77"/>
      <c r="E23" s="77"/>
      <c r="F23" s="94"/>
      <c r="G23" s="95"/>
      <c r="H23" s="95">
        <v>0</v>
      </c>
      <c r="I23" s="98">
        <f>0.1*I22/12</f>
        <v>0</v>
      </c>
      <c r="J23" s="98">
        <f>0.14*J22/12</f>
        <v>1166.6666666666667</v>
      </c>
      <c r="K23" s="98">
        <f aca="true" t="shared" si="6" ref="K23:T23">0.14*K22/12</f>
        <v>1645.0000000000002</v>
      </c>
      <c r="L23" s="98">
        <f t="shared" si="6"/>
        <v>2321.666666666667</v>
      </c>
      <c r="M23" s="98">
        <f t="shared" si="6"/>
        <v>2321.666666666667</v>
      </c>
      <c r="N23" s="98">
        <f t="shared" si="6"/>
        <v>2193.3333333333335</v>
      </c>
      <c r="O23" s="98">
        <f t="shared" si="6"/>
        <v>2123.3333333333335</v>
      </c>
      <c r="P23" s="98">
        <f t="shared" si="6"/>
        <v>1796.666666666667</v>
      </c>
      <c r="Q23" s="98">
        <f t="shared" si="6"/>
        <v>1505</v>
      </c>
      <c r="R23" s="98">
        <f t="shared" si="6"/>
        <v>851.6666666666669</v>
      </c>
      <c r="S23" s="98">
        <f t="shared" si="6"/>
        <v>268.33333333333337</v>
      </c>
      <c r="T23" s="98">
        <f t="shared" si="6"/>
        <v>0</v>
      </c>
      <c r="U23" s="95">
        <f>SUM(I23:T23)</f>
        <v>16193.333333333336</v>
      </c>
      <c r="V23" s="98"/>
      <c r="W23" s="100"/>
    </row>
    <row r="24" spans="1:23" s="34" customFormat="1" ht="15.75">
      <c r="A24" s="10" t="s">
        <v>4</v>
      </c>
      <c r="B24" s="11" t="s">
        <v>5</v>
      </c>
      <c r="C24" s="6" t="s">
        <v>126</v>
      </c>
      <c r="D24" s="6"/>
      <c r="E24" s="6"/>
      <c r="F24" s="17" t="e">
        <f aca="true" t="shared" si="7" ref="F24:W24">F28+F114+F139+F140+F141+F142+F143+F144+F145+F146+F147+F148+F149+F154+F152+F153+F150+F151</f>
        <v>#REF!</v>
      </c>
      <c r="G24" s="17" t="e">
        <f t="shared" si="7"/>
        <v>#REF!</v>
      </c>
      <c r="H24" s="17">
        <f t="shared" si="7"/>
        <v>2873455.475400392</v>
      </c>
      <c r="I24" s="17" t="e">
        <f t="shared" si="7"/>
        <v>#REF!</v>
      </c>
      <c r="J24" s="17" t="e">
        <f t="shared" si="7"/>
        <v>#REF!</v>
      </c>
      <c r="K24" s="17" t="e">
        <f t="shared" si="7"/>
        <v>#REF!</v>
      </c>
      <c r="L24" s="17" t="e">
        <f t="shared" si="7"/>
        <v>#REF!</v>
      </c>
      <c r="M24" s="17" t="e">
        <f t="shared" si="7"/>
        <v>#REF!</v>
      </c>
      <c r="N24" s="17" t="e">
        <f t="shared" si="7"/>
        <v>#REF!</v>
      </c>
      <c r="O24" s="17" t="e">
        <f t="shared" si="7"/>
        <v>#REF!</v>
      </c>
      <c r="P24" s="17" t="e">
        <f t="shared" si="7"/>
        <v>#REF!</v>
      </c>
      <c r="Q24" s="17" t="e">
        <f t="shared" si="7"/>
        <v>#REF!</v>
      </c>
      <c r="R24" s="17" t="e">
        <f t="shared" si="7"/>
        <v>#REF!</v>
      </c>
      <c r="S24" s="17" t="e">
        <f t="shared" si="7"/>
        <v>#REF!</v>
      </c>
      <c r="T24" s="17" t="e">
        <f t="shared" si="7"/>
        <v>#REF!</v>
      </c>
      <c r="U24" s="17" t="e">
        <f t="shared" si="7"/>
        <v>#REF!</v>
      </c>
      <c r="V24" s="17" t="e">
        <f t="shared" si="7"/>
        <v>#REF!</v>
      </c>
      <c r="W24" s="17" t="e">
        <f t="shared" si="7"/>
        <v>#REF!</v>
      </c>
    </row>
    <row r="25" spans="1:23" ht="15.75">
      <c r="A25" s="9"/>
      <c r="B25" s="18" t="s">
        <v>127</v>
      </c>
      <c r="C25" s="6" t="s">
        <v>126</v>
      </c>
      <c r="D25" s="19"/>
      <c r="E25" s="19"/>
      <c r="F25" s="8"/>
      <c r="G25" s="8"/>
      <c r="H25" s="8">
        <v>0</v>
      </c>
      <c r="I25" s="13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7"/>
      <c r="V25" s="15"/>
      <c r="W25" s="89" t="e">
        <f>W24-W116</f>
        <v>#REF!</v>
      </c>
    </row>
    <row r="26" spans="1:23" ht="15.75">
      <c r="A26" s="9"/>
      <c r="B26" s="18" t="s">
        <v>261</v>
      </c>
      <c r="C26" s="6" t="s">
        <v>126</v>
      </c>
      <c r="D26" s="19"/>
      <c r="E26" s="19"/>
      <c r="F26" s="13" t="e">
        <f>F24-F27</f>
        <v>#REF!</v>
      </c>
      <c r="G26" s="13" t="e">
        <f>G24-G27</f>
        <v>#REF!</v>
      </c>
      <c r="H26" s="13">
        <v>2939744.1334334323</v>
      </c>
      <c r="I26" s="13" t="e">
        <f>I24-I27</f>
        <v>#REF!</v>
      </c>
      <c r="J26" s="13" t="e">
        <f aca="true" t="shared" si="8" ref="J26:W26">J24-J27</f>
        <v>#REF!</v>
      </c>
      <c r="K26" s="13" t="e">
        <f t="shared" si="8"/>
        <v>#REF!</v>
      </c>
      <c r="L26" s="13" t="e">
        <f t="shared" si="8"/>
        <v>#REF!</v>
      </c>
      <c r="M26" s="13" t="e">
        <f t="shared" si="8"/>
        <v>#REF!</v>
      </c>
      <c r="N26" s="13" t="e">
        <f t="shared" si="8"/>
        <v>#REF!</v>
      </c>
      <c r="O26" s="13" t="e">
        <f>O24-O27</f>
        <v>#REF!</v>
      </c>
      <c r="P26" s="13" t="e">
        <f>P24-P27</f>
        <v>#REF!</v>
      </c>
      <c r="Q26" s="13" t="e">
        <f t="shared" si="8"/>
        <v>#REF!</v>
      </c>
      <c r="R26" s="13" t="e">
        <f t="shared" si="8"/>
        <v>#REF!</v>
      </c>
      <c r="S26" s="13" t="e">
        <f t="shared" si="8"/>
        <v>#REF!</v>
      </c>
      <c r="T26" s="13" t="e">
        <f t="shared" si="8"/>
        <v>#REF!</v>
      </c>
      <c r="U26" s="13" t="e">
        <f t="shared" si="8"/>
        <v>#REF!</v>
      </c>
      <c r="V26" s="13" t="e">
        <f t="shared" si="8"/>
        <v>#REF!</v>
      </c>
      <c r="W26" s="13" t="e">
        <f t="shared" si="8"/>
        <v>#REF!</v>
      </c>
    </row>
    <row r="27" spans="1:23" s="25" customFormat="1" ht="15.75">
      <c r="A27" s="20"/>
      <c r="B27" s="21" t="s">
        <v>262</v>
      </c>
      <c r="C27" s="6" t="s">
        <v>126</v>
      </c>
      <c r="D27" s="22"/>
      <c r="E27" s="22"/>
      <c r="F27" s="23">
        <f>F34</f>
        <v>0</v>
      </c>
      <c r="G27" s="23">
        <f>G34</f>
        <v>0</v>
      </c>
      <c r="H27" s="23">
        <v>2998.2117169600006</v>
      </c>
      <c r="I27" s="23" t="e">
        <f>I34</f>
        <v>#REF!</v>
      </c>
      <c r="J27" s="23" t="e">
        <f aca="true" t="shared" si="9" ref="J27:W27">J34</f>
        <v>#REF!</v>
      </c>
      <c r="K27" s="23" t="e">
        <f t="shared" si="9"/>
        <v>#REF!</v>
      </c>
      <c r="L27" s="23" t="e">
        <f t="shared" si="9"/>
        <v>#REF!</v>
      </c>
      <c r="M27" s="23" t="e">
        <f t="shared" si="9"/>
        <v>#REF!</v>
      </c>
      <c r="N27" s="23" t="e">
        <f t="shared" si="9"/>
        <v>#REF!</v>
      </c>
      <c r="O27" s="23" t="e">
        <f t="shared" si="9"/>
        <v>#REF!</v>
      </c>
      <c r="P27" s="23" t="e">
        <f t="shared" si="9"/>
        <v>#REF!</v>
      </c>
      <c r="Q27" s="23" t="e">
        <f t="shared" si="9"/>
        <v>#REF!</v>
      </c>
      <c r="R27" s="23" t="e">
        <f t="shared" si="9"/>
        <v>#REF!</v>
      </c>
      <c r="S27" s="23" t="e">
        <f t="shared" si="9"/>
        <v>#REF!</v>
      </c>
      <c r="T27" s="23" t="e">
        <f t="shared" si="9"/>
        <v>#REF!</v>
      </c>
      <c r="U27" s="23" t="e">
        <f t="shared" si="9"/>
        <v>#REF!</v>
      </c>
      <c r="V27" s="23">
        <f t="shared" si="9"/>
        <v>0</v>
      </c>
      <c r="W27" s="23">
        <f t="shared" si="9"/>
        <v>0</v>
      </c>
    </row>
    <row r="28" spans="1:23" s="34" customFormat="1" ht="32.25" customHeight="1">
      <c r="A28" s="10" t="s">
        <v>264</v>
      </c>
      <c r="B28" s="59" t="s">
        <v>112</v>
      </c>
      <c r="C28" s="6" t="s">
        <v>126</v>
      </c>
      <c r="D28" s="6"/>
      <c r="E28" s="6"/>
      <c r="F28" s="17" t="e">
        <f aca="true" t="shared" si="10" ref="F28:W28">F30+F32+F33+F35+F41+F49+F50+F51+F56+F57+F58+F59+F60+F62+F63+F64+F72+F73+F74+F75+F76+F77+F78+F79+F80+F81+F84+F85+F86+F87+F88+F89+F90+F91+F93+F94+F95+F96+F97+F98+F99+F100+F107+F82+F83+F101+F104+F106+F105+F110+F102+F61+F92+F108+F103+F109</f>
        <v>#REF!</v>
      </c>
      <c r="G28" s="17" t="e">
        <f t="shared" si="10"/>
        <v>#REF!</v>
      </c>
      <c r="H28" s="17">
        <v>2114136.091562292</v>
      </c>
      <c r="I28" s="17" t="e">
        <f t="shared" si="10"/>
        <v>#REF!</v>
      </c>
      <c r="J28" s="17" t="e">
        <f t="shared" si="10"/>
        <v>#REF!</v>
      </c>
      <c r="K28" s="17" t="e">
        <f t="shared" si="10"/>
        <v>#REF!</v>
      </c>
      <c r="L28" s="17" t="e">
        <f>L30+L32+L33+L35+L41+L49+L50+L51+L56+L57+L58+L59+L60+L62+L63+L64+L72+L73+L74+L75+L76+L77+L78+L79+L80+L81+L84+L85+L86+L87+L88+L89+L90+L91+L93+L94+L95+L96+L97+L98+L99+L100+L107+L82+L83+L101+L104+L106+L105+L110+L102+L61+L92+L108+L103+L109</f>
        <v>#REF!</v>
      </c>
      <c r="M28" s="17" t="e">
        <f t="shared" si="10"/>
        <v>#REF!</v>
      </c>
      <c r="N28" s="17" t="e">
        <f t="shared" si="10"/>
        <v>#REF!</v>
      </c>
      <c r="O28" s="17" t="e">
        <f t="shared" si="10"/>
        <v>#REF!</v>
      </c>
      <c r="P28" s="17" t="e">
        <f t="shared" si="10"/>
        <v>#REF!</v>
      </c>
      <c r="Q28" s="17" t="e">
        <f t="shared" si="10"/>
        <v>#REF!</v>
      </c>
      <c r="R28" s="17" t="e">
        <f t="shared" si="10"/>
        <v>#REF!</v>
      </c>
      <c r="S28" s="17" t="e">
        <f t="shared" si="10"/>
        <v>#REF!</v>
      </c>
      <c r="T28" s="17" t="e">
        <f t="shared" si="10"/>
        <v>#REF!</v>
      </c>
      <c r="U28" s="17" t="e">
        <f t="shared" si="10"/>
        <v>#REF!</v>
      </c>
      <c r="V28" s="17" t="e">
        <f t="shared" si="10"/>
        <v>#REF!</v>
      </c>
      <c r="W28" s="17" t="e">
        <f t="shared" si="10"/>
        <v>#REF!</v>
      </c>
    </row>
    <row r="29" spans="1:23" s="42" customFormat="1" ht="15.75" hidden="1">
      <c r="A29" s="118"/>
      <c r="B29" s="119" t="s">
        <v>186</v>
      </c>
      <c r="C29" s="120"/>
      <c r="D29" s="120"/>
      <c r="E29" s="120"/>
      <c r="F29" s="121"/>
      <c r="G29" s="121"/>
      <c r="H29" s="121"/>
      <c r="I29" s="121">
        <v>2025.1660800000002</v>
      </c>
      <c r="J29" s="121">
        <v>5130.731200000001</v>
      </c>
      <c r="K29" s="121">
        <v>7668.335920000001</v>
      </c>
      <c r="L29" s="121">
        <v>7130.3792</v>
      </c>
      <c r="M29" s="121">
        <v>8578.6848</v>
      </c>
      <c r="N29" s="121">
        <v>6049.881600000001</v>
      </c>
      <c r="O29" s="121">
        <v>1986.8240000000003</v>
      </c>
      <c r="P29" s="121">
        <v>4156.7568</v>
      </c>
      <c r="Q29" s="121">
        <v>11839.408000000001</v>
      </c>
      <c r="R29" s="121">
        <v>673.736</v>
      </c>
      <c r="S29" s="121">
        <v>19.208000000000002</v>
      </c>
      <c r="T29" s="121">
        <v>66.02400000000002</v>
      </c>
      <c r="U29" s="13">
        <f aca="true" t="shared" si="11" ref="U29:U37">SUM(I29:T29)</f>
        <v>55325.1356</v>
      </c>
      <c r="V29" s="121"/>
      <c r="W29" s="121"/>
    </row>
    <row r="30" spans="1:25" s="35" customFormat="1" ht="27">
      <c r="A30" s="9" t="s">
        <v>6</v>
      </c>
      <c r="B30" s="57" t="s">
        <v>74</v>
      </c>
      <c r="C30" s="19" t="s">
        <v>126</v>
      </c>
      <c r="D30" s="6"/>
      <c r="E30" s="6"/>
      <c r="F30" s="13"/>
      <c r="G30" s="13">
        <f>102.422+4003+1286.382+4304.667+498</f>
        <v>10194.471000000001</v>
      </c>
      <c r="H30" s="13">
        <v>43073.29312</v>
      </c>
      <c r="I30" s="13">
        <f>G30-2000</f>
        <v>8194.471000000001</v>
      </c>
      <c r="J30" s="13" t="e">
        <f>J29+#REF!*1.12+#REF!*1.12+2666.86-J31+2000</f>
        <v>#REF!</v>
      </c>
      <c r="K30" s="13" t="e">
        <f>K29+#REF!*1.12+#REF!*1.12-K31</f>
        <v>#REF!</v>
      </c>
      <c r="L30" s="13" t="e">
        <f>L29+#REF!*1.12+#REF!*1.12-L31</f>
        <v>#REF!</v>
      </c>
      <c r="M30" s="13" t="e">
        <f>M29+#REF!*1.12+#REF!*1.12-M31</f>
        <v>#REF!</v>
      </c>
      <c r="N30" s="13" t="e">
        <f>N29+#REF!*1.12+#REF!*1.12</f>
        <v>#REF!</v>
      </c>
      <c r="O30" s="13" t="e">
        <f>O29+#REF!*1.12+#REF!*1.12</f>
        <v>#REF!</v>
      </c>
      <c r="P30" s="13" t="e">
        <f>P29+#REF!*1.12+#REF!*1.12</f>
        <v>#REF!</v>
      </c>
      <c r="Q30" s="13" t="e">
        <f>Q29+#REF!*1.12+#REF!*1.12-Q31</f>
        <v>#REF!</v>
      </c>
      <c r="R30" s="13" t="e">
        <f>R29+#REF!*1.12+#REF!*1.12</f>
        <v>#REF!</v>
      </c>
      <c r="S30" s="13" t="e">
        <f>S29+#REF!*1.12+#REF!*1.12</f>
        <v>#REF!</v>
      </c>
      <c r="T30" s="13" t="e">
        <f>T29+#REF!*1.12+#REF!*1.12</f>
        <v>#REF!</v>
      </c>
      <c r="U30" s="13" t="e">
        <f t="shared" si="11"/>
        <v>#REF!</v>
      </c>
      <c r="V30" s="17"/>
      <c r="W30" s="13">
        <v>10000</v>
      </c>
      <c r="X30" s="104"/>
      <c r="Y30" s="104"/>
    </row>
    <row r="31" spans="1:25" s="138" customFormat="1" ht="12.75">
      <c r="A31" s="134"/>
      <c r="B31" s="135" t="s">
        <v>116</v>
      </c>
      <c r="C31" s="134"/>
      <c r="D31" s="136"/>
      <c r="E31" s="136"/>
      <c r="F31" s="129"/>
      <c r="G31" s="129"/>
      <c r="H31" s="129">
        <v>0</v>
      </c>
      <c r="I31" s="129"/>
      <c r="J31" s="129"/>
      <c r="K31" s="129"/>
      <c r="L31" s="129"/>
      <c r="M31" s="129"/>
      <c r="N31" s="129"/>
      <c r="O31" s="129"/>
      <c r="P31" s="129"/>
      <c r="Q31" s="129">
        <v>10000</v>
      </c>
      <c r="R31" s="129"/>
      <c r="S31" s="129"/>
      <c r="T31" s="129"/>
      <c r="U31" s="129">
        <f t="shared" si="11"/>
        <v>10000</v>
      </c>
      <c r="V31" s="137"/>
      <c r="W31" s="137"/>
      <c r="X31" s="130"/>
      <c r="Y31" s="130"/>
    </row>
    <row r="32" spans="1:25" ht="15.75">
      <c r="A32" s="9" t="s">
        <v>7</v>
      </c>
      <c r="B32" s="57" t="s">
        <v>8</v>
      </c>
      <c r="C32" s="19" t="s">
        <v>126</v>
      </c>
      <c r="D32" s="19"/>
      <c r="E32" s="19"/>
      <c r="F32" s="8"/>
      <c r="G32" s="13">
        <v>3218.5</v>
      </c>
      <c r="H32" s="13">
        <v>33464.6570358992</v>
      </c>
      <c r="I32" s="15">
        <f>G32</f>
        <v>3218.5</v>
      </c>
      <c r="J32" s="15" t="e">
        <f>(#REF!+#REF!)*1.12</f>
        <v>#REF!</v>
      </c>
      <c r="K32" s="15" t="e">
        <f>(#REF!+#REF!)*1.12</f>
        <v>#REF!</v>
      </c>
      <c r="L32" s="15" t="e">
        <f>(#REF!+#REF!)*1.12</f>
        <v>#REF!</v>
      </c>
      <c r="M32" s="15" t="e">
        <f>(#REF!+#REF!)*1.12</f>
        <v>#REF!</v>
      </c>
      <c r="N32" s="15" t="e">
        <f>(#REF!+#REF!)*1.12</f>
        <v>#REF!</v>
      </c>
      <c r="O32" s="15" t="e">
        <f>(#REF!+#REF!)*1.12</f>
        <v>#REF!</v>
      </c>
      <c r="P32" s="15" t="e">
        <f>(#REF!+#REF!)*1.12</f>
        <v>#REF!</v>
      </c>
      <c r="Q32" s="15" t="e">
        <f>(#REF!+#REF!)*1.12</f>
        <v>#REF!</v>
      </c>
      <c r="R32" s="15" t="e">
        <f>(#REF!+#REF!)*1.12</f>
        <v>#REF!</v>
      </c>
      <c r="S32" s="15" t="e">
        <f>(#REF!+#REF!)*1.12</f>
        <v>#REF!</v>
      </c>
      <c r="T32" s="15" t="e">
        <f>(#REF!+#REF!)*1.12</f>
        <v>#REF!</v>
      </c>
      <c r="U32" s="13" t="e">
        <f t="shared" si="11"/>
        <v>#REF!</v>
      </c>
      <c r="V32" s="15"/>
      <c r="W32" s="15" t="e">
        <f>#REF!*1.12</f>
        <v>#REF!</v>
      </c>
      <c r="X32" s="104"/>
      <c r="Y32" s="104"/>
    </row>
    <row r="33" spans="1:25" ht="31.5">
      <c r="A33" s="36" t="s">
        <v>9</v>
      </c>
      <c r="B33" s="57" t="s">
        <v>110</v>
      </c>
      <c r="C33" s="19" t="s">
        <v>126</v>
      </c>
      <c r="D33" s="19"/>
      <c r="E33" s="19"/>
      <c r="F33" s="13" t="e">
        <f>#REF!</f>
        <v>#REF!</v>
      </c>
      <c r="G33" s="13" t="e">
        <f>#REF!</f>
        <v>#REF!</v>
      </c>
      <c r="H33" s="13">
        <v>588057.614695184</v>
      </c>
      <c r="I33" s="15" t="e">
        <f>#REF!</f>
        <v>#REF!</v>
      </c>
      <c r="J33" s="15" t="e">
        <f>#REF!</f>
        <v>#REF!</v>
      </c>
      <c r="K33" s="15" t="e">
        <f>#REF!</f>
        <v>#REF!</v>
      </c>
      <c r="L33" s="15" t="e">
        <f>#REF!</f>
        <v>#REF!</v>
      </c>
      <c r="M33" s="15" t="e">
        <f>#REF!</f>
        <v>#REF!</v>
      </c>
      <c r="N33" s="15" t="e">
        <f>#REF!</f>
        <v>#REF!</v>
      </c>
      <c r="O33" s="15" t="e">
        <f>#REF!</f>
        <v>#REF!</v>
      </c>
      <c r="P33" s="15" t="e">
        <f>#REF!</f>
        <v>#REF!</v>
      </c>
      <c r="Q33" s="15" t="e">
        <f>#REF!</f>
        <v>#REF!</v>
      </c>
      <c r="R33" s="15" t="e">
        <f>#REF!</f>
        <v>#REF!</v>
      </c>
      <c r="S33" s="15" t="e">
        <f>#REF!</f>
        <v>#REF!</v>
      </c>
      <c r="T33" s="15" t="e">
        <f>#REF!</f>
        <v>#REF!</v>
      </c>
      <c r="U33" s="13" t="e">
        <f t="shared" si="11"/>
        <v>#REF!</v>
      </c>
      <c r="V33" s="15" t="e">
        <f>#REF!</f>
        <v>#REF!</v>
      </c>
      <c r="W33" s="15" t="e">
        <f>#REF!</f>
        <v>#REF!</v>
      </c>
      <c r="X33" s="104"/>
      <c r="Y33" s="5"/>
    </row>
    <row r="34" spans="1:23" s="25" customFormat="1" ht="15.75">
      <c r="A34" s="91"/>
      <c r="B34" s="92" t="s">
        <v>180</v>
      </c>
      <c r="C34" s="22" t="s">
        <v>126</v>
      </c>
      <c r="D34" s="22"/>
      <c r="E34" s="22"/>
      <c r="F34" s="23"/>
      <c r="G34" s="23"/>
      <c r="H34" s="23">
        <v>2998.2117169600006</v>
      </c>
      <c r="I34" s="24" t="e">
        <f>I16</f>
        <v>#REF!</v>
      </c>
      <c r="J34" s="24" t="e">
        <f aca="true" t="shared" si="12" ref="J34:T34">J16</f>
        <v>#REF!</v>
      </c>
      <c r="K34" s="24" t="e">
        <f t="shared" si="12"/>
        <v>#REF!</v>
      </c>
      <c r="L34" s="24" t="e">
        <f t="shared" si="12"/>
        <v>#REF!</v>
      </c>
      <c r="M34" s="24" t="e">
        <f t="shared" si="12"/>
        <v>#REF!</v>
      </c>
      <c r="N34" s="24" t="e">
        <f t="shared" si="12"/>
        <v>#REF!</v>
      </c>
      <c r="O34" s="24" t="e">
        <f t="shared" si="12"/>
        <v>#REF!</v>
      </c>
      <c r="P34" s="24" t="e">
        <f t="shared" si="12"/>
        <v>#REF!</v>
      </c>
      <c r="Q34" s="24" t="e">
        <f>Q16</f>
        <v>#REF!</v>
      </c>
      <c r="R34" s="24" t="e">
        <f t="shared" si="12"/>
        <v>#REF!</v>
      </c>
      <c r="S34" s="24" t="e">
        <f t="shared" si="12"/>
        <v>#REF!</v>
      </c>
      <c r="T34" s="24" t="e">
        <f t="shared" si="12"/>
        <v>#REF!</v>
      </c>
      <c r="U34" s="23" t="e">
        <f t="shared" si="11"/>
        <v>#REF!</v>
      </c>
      <c r="V34" s="24"/>
      <c r="W34" s="24"/>
    </row>
    <row r="35" spans="1:25" ht="15.75">
      <c r="A35" s="36" t="s">
        <v>10</v>
      </c>
      <c r="B35" s="57" t="s">
        <v>149</v>
      </c>
      <c r="C35" s="19" t="s">
        <v>126</v>
      </c>
      <c r="D35" s="19"/>
      <c r="E35" s="19"/>
      <c r="F35" s="13">
        <f aca="true" t="shared" si="13" ref="F35:T35">F37+F38+F39+F40</f>
        <v>466.7</v>
      </c>
      <c r="G35" s="13">
        <f t="shared" si="13"/>
        <v>93394.13499999998</v>
      </c>
      <c r="H35" s="13">
        <v>995857.7610875001</v>
      </c>
      <c r="I35" s="13">
        <f t="shared" si="13"/>
        <v>96394.13499999998</v>
      </c>
      <c r="J35" s="13" t="e">
        <f t="shared" si="13"/>
        <v>#REF!</v>
      </c>
      <c r="K35" s="13" t="e">
        <f t="shared" si="13"/>
        <v>#REF!</v>
      </c>
      <c r="L35" s="13" t="e">
        <f t="shared" si="13"/>
        <v>#REF!</v>
      </c>
      <c r="M35" s="13" t="e">
        <f t="shared" si="13"/>
        <v>#REF!</v>
      </c>
      <c r="N35" s="13" t="e">
        <f t="shared" si="13"/>
        <v>#REF!</v>
      </c>
      <c r="O35" s="13" t="e">
        <f t="shared" si="13"/>
        <v>#REF!</v>
      </c>
      <c r="P35" s="13" t="e">
        <f t="shared" si="13"/>
        <v>#REF!</v>
      </c>
      <c r="Q35" s="13" t="e">
        <f t="shared" si="13"/>
        <v>#REF!</v>
      </c>
      <c r="R35" s="13" t="e">
        <f t="shared" si="13"/>
        <v>#REF!</v>
      </c>
      <c r="S35" s="13" t="e">
        <f t="shared" si="13"/>
        <v>#REF!</v>
      </c>
      <c r="T35" s="13" t="e">
        <f t="shared" si="13"/>
        <v>#REF!</v>
      </c>
      <c r="U35" s="13" t="e">
        <f t="shared" si="11"/>
        <v>#REF!</v>
      </c>
      <c r="V35" s="13">
        <f>V37+V38+V39+V40</f>
        <v>0</v>
      </c>
      <c r="W35" s="13" t="e">
        <f>W37+W38+W39+W40</f>
        <v>#REF!</v>
      </c>
      <c r="X35" s="5"/>
      <c r="Y35" s="5"/>
    </row>
    <row r="36" spans="1:25" ht="15.75">
      <c r="A36" s="36"/>
      <c r="B36" s="75" t="s">
        <v>127</v>
      </c>
      <c r="C36" s="19" t="s">
        <v>126</v>
      </c>
      <c r="D36" s="19"/>
      <c r="E36" s="19"/>
      <c r="F36" s="13"/>
      <c r="G36" s="13"/>
      <c r="H36" s="13">
        <v>0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3">
        <f t="shared" si="11"/>
        <v>0</v>
      </c>
      <c r="V36" s="15"/>
      <c r="W36" s="15"/>
      <c r="Y36" s="5"/>
    </row>
    <row r="37" spans="1:23" s="38" customFormat="1" ht="15.75">
      <c r="A37" s="76"/>
      <c r="B37" s="74" t="s">
        <v>146</v>
      </c>
      <c r="C37" s="77" t="s">
        <v>126</v>
      </c>
      <c r="D37" s="77"/>
      <c r="E37" s="77"/>
      <c r="F37" s="69">
        <f>466.7</f>
        <v>466.7</v>
      </c>
      <c r="G37" s="69">
        <f>67093.752+496.958+7.632</f>
        <v>67598.34199999999</v>
      </c>
      <c r="H37" s="69">
        <v>754197.6765000002</v>
      </c>
      <c r="I37" s="37">
        <f>G37+3000</f>
        <v>70598.34199999999</v>
      </c>
      <c r="J37" s="37" t="e">
        <f>#REF!</f>
        <v>#REF!</v>
      </c>
      <c r="K37" s="37" t="e">
        <f>#REF!</f>
        <v>#REF!</v>
      </c>
      <c r="L37" s="37" t="e">
        <f>#REF!</f>
        <v>#REF!</v>
      </c>
      <c r="M37" s="37" t="e">
        <f>#REF!</f>
        <v>#REF!</v>
      </c>
      <c r="N37" s="37" t="e">
        <f>#REF!</f>
        <v>#REF!</v>
      </c>
      <c r="O37" s="37" t="e">
        <f>#REF!</f>
        <v>#REF!</v>
      </c>
      <c r="P37" s="37" t="e">
        <f>#REF!</f>
        <v>#REF!</v>
      </c>
      <c r="Q37" s="37" t="e">
        <f>#REF!</f>
        <v>#REF!</v>
      </c>
      <c r="R37" s="37" t="e">
        <f>#REF!</f>
        <v>#REF!</v>
      </c>
      <c r="S37" s="37" t="e">
        <f>#REF!</f>
        <v>#REF!</v>
      </c>
      <c r="T37" s="37" t="e">
        <f>#REF!</f>
        <v>#REF!</v>
      </c>
      <c r="U37" s="13" t="e">
        <f t="shared" si="11"/>
        <v>#REF!</v>
      </c>
      <c r="V37" s="37"/>
      <c r="W37" s="37" t="e">
        <f>#REF!+14116.37</f>
        <v>#REF!</v>
      </c>
    </row>
    <row r="38" spans="1:23" s="38" customFormat="1" ht="15.75">
      <c r="A38" s="76"/>
      <c r="B38" s="74" t="s">
        <v>147</v>
      </c>
      <c r="C38" s="77" t="s">
        <v>126</v>
      </c>
      <c r="D38" s="77"/>
      <c r="E38" s="77"/>
      <c r="F38" s="105"/>
      <c r="G38" s="69">
        <v>9037.303</v>
      </c>
      <c r="H38" s="69">
        <v>92217.81625000002</v>
      </c>
      <c r="I38" s="37">
        <f>G38</f>
        <v>9037.303</v>
      </c>
      <c r="J38" s="37" t="e">
        <f>#REF!</f>
        <v>#REF!</v>
      </c>
      <c r="K38" s="37" t="e">
        <f>#REF!</f>
        <v>#REF!</v>
      </c>
      <c r="L38" s="37" t="e">
        <f>#REF!</f>
        <v>#REF!</v>
      </c>
      <c r="M38" s="37" t="e">
        <f>#REF!</f>
        <v>#REF!</v>
      </c>
      <c r="N38" s="37" t="e">
        <f>#REF!</f>
        <v>#REF!</v>
      </c>
      <c r="O38" s="37" t="e">
        <f>#REF!</f>
        <v>#REF!</v>
      </c>
      <c r="P38" s="37" t="e">
        <f>#REF!</f>
        <v>#REF!</v>
      </c>
      <c r="Q38" s="37" t="e">
        <f>#REF!</f>
        <v>#REF!</v>
      </c>
      <c r="R38" s="37" t="e">
        <f>#REF!</f>
        <v>#REF!</v>
      </c>
      <c r="S38" s="37" t="e">
        <f>#REF!</f>
        <v>#REF!</v>
      </c>
      <c r="T38" s="37" t="e">
        <f>#REF!</f>
        <v>#REF!</v>
      </c>
      <c r="U38" s="13" t="e">
        <f aca="true" t="shared" si="14" ref="U38:U48">SUM(I38:T38)</f>
        <v>#REF!</v>
      </c>
      <c r="V38" s="37"/>
      <c r="W38" s="37" t="e">
        <f>#REF!</f>
        <v>#REF!</v>
      </c>
    </row>
    <row r="39" spans="1:23" s="38" customFormat="1" ht="15.75">
      <c r="A39" s="76"/>
      <c r="B39" s="74" t="s">
        <v>148</v>
      </c>
      <c r="C39" s="77" t="s">
        <v>126</v>
      </c>
      <c r="D39" s="77"/>
      <c r="E39" s="77"/>
      <c r="F39" s="105"/>
      <c r="G39" s="69">
        <v>6924.177</v>
      </c>
      <c r="H39" s="69">
        <v>57212.80975000001</v>
      </c>
      <c r="I39" s="37">
        <f>G39</f>
        <v>6924.177</v>
      </c>
      <c r="J39" s="37" t="e">
        <f>#REF!</f>
        <v>#REF!</v>
      </c>
      <c r="K39" s="37" t="e">
        <f>#REF!</f>
        <v>#REF!</v>
      </c>
      <c r="L39" s="37" t="e">
        <f>#REF!</f>
        <v>#REF!</v>
      </c>
      <c r="M39" s="37" t="e">
        <f>#REF!</f>
        <v>#REF!</v>
      </c>
      <c r="N39" s="37" t="e">
        <f>#REF!</f>
        <v>#REF!</v>
      </c>
      <c r="O39" s="37" t="e">
        <f>#REF!</f>
        <v>#REF!</v>
      </c>
      <c r="P39" s="37" t="e">
        <f>#REF!</f>
        <v>#REF!</v>
      </c>
      <c r="Q39" s="37" t="e">
        <f>#REF!</f>
        <v>#REF!</v>
      </c>
      <c r="R39" s="37" t="e">
        <f>#REF!</f>
        <v>#REF!</v>
      </c>
      <c r="S39" s="37" t="e">
        <f>#REF!</f>
        <v>#REF!</v>
      </c>
      <c r="T39" s="37" t="e">
        <f>#REF!</f>
        <v>#REF!</v>
      </c>
      <c r="U39" s="13" t="e">
        <f t="shared" si="14"/>
        <v>#REF!</v>
      </c>
      <c r="V39" s="37"/>
      <c r="W39" s="37" t="e">
        <f>#REF!</f>
        <v>#REF!</v>
      </c>
    </row>
    <row r="40" spans="1:23" s="38" customFormat="1" ht="15.75">
      <c r="A40" s="76"/>
      <c r="B40" s="74" t="s">
        <v>232</v>
      </c>
      <c r="C40" s="77" t="s">
        <v>126</v>
      </c>
      <c r="D40" s="77"/>
      <c r="E40" s="77"/>
      <c r="F40" s="106"/>
      <c r="G40" s="69">
        <f>5914.5+3919.813</f>
        <v>9834.313</v>
      </c>
      <c r="H40" s="69">
        <v>92229.45858750002</v>
      </c>
      <c r="I40" s="37">
        <f>G40</f>
        <v>9834.313</v>
      </c>
      <c r="J40" s="37" t="e">
        <f>#REF!</f>
        <v>#REF!</v>
      </c>
      <c r="K40" s="37" t="e">
        <f>#REF!</f>
        <v>#REF!</v>
      </c>
      <c r="L40" s="37" t="e">
        <f>#REF!</f>
        <v>#REF!</v>
      </c>
      <c r="M40" s="37" t="e">
        <f>#REF!</f>
        <v>#REF!</v>
      </c>
      <c r="N40" s="37" t="e">
        <f>#REF!</f>
        <v>#REF!</v>
      </c>
      <c r="O40" s="37" t="e">
        <f>#REF!</f>
        <v>#REF!</v>
      </c>
      <c r="P40" s="37" t="e">
        <f>#REF!</f>
        <v>#REF!</v>
      </c>
      <c r="Q40" s="37" t="e">
        <f>#REF!</f>
        <v>#REF!</v>
      </c>
      <c r="R40" s="37" t="e">
        <f>#REF!</f>
        <v>#REF!</v>
      </c>
      <c r="S40" s="37" t="e">
        <f>#REF!</f>
        <v>#REF!</v>
      </c>
      <c r="T40" s="37" t="e">
        <f>#REF!</f>
        <v>#REF!</v>
      </c>
      <c r="U40" s="13" t="e">
        <f t="shared" si="14"/>
        <v>#REF!</v>
      </c>
      <c r="V40" s="37"/>
      <c r="W40" s="37" t="e">
        <f>#REF!</f>
        <v>#REF!</v>
      </c>
    </row>
    <row r="41" spans="1:23" ht="31.5">
      <c r="A41" s="36" t="s">
        <v>55</v>
      </c>
      <c r="B41" s="57" t="s">
        <v>153</v>
      </c>
      <c r="C41" s="19" t="s">
        <v>126</v>
      </c>
      <c r="D41" s="19"/>
      <c r="E41" s="19"/>
      <c r="F41" s="15">
        <f>F43+F46+F47+F48</f>
        <v>0</v>
      </c>
      <c r="G41" s="15">
        <f>G43+G46+G47</f>
        <v>21938.46</v>
      </c>
      <c r="H41" s="15">
        <v>106051.51719360001</v>
      </c>
      <c r="I41" s="15" t="e">
        <f>I43+I46+I47+I48</f>
        <v>#REF!</v>
      </c>
      <c r="J41" s="15" t="e">
        <f aca="true" t="shared" si="15" ref="J41:P41">J43+J46+J47</f>
        <v>#REF!</v>
      </c>
      <c r="K41" s="15" t="e">
        <f t="shared" si="15"/>
        <v>#REF!</v>
      </c>
      <c r="L41" s="15" t="e">
        <f t="shared" si="15"/>
        <v>#REF!</v>
      </c>
      <c r="M41" s="15" t="e">
        <f t="shared" si="15"/>
        <v>#REF!</v>
      </c>
      <c r="N41" s="15" t="e">
        <f t="shared" si="15"/>
        <v>#REF!</v>
      </c>
      <c r="O41" s="15" t="e">
        <f t="shared" si="15"/>
        <v>#REF!</v>
      </c>
      <c r="P41" s="15" t="e">
        <f t="shared" si="15"/>
        <v>#REF!</v>
      </c>
      <c r="Q41" s="15" t="e">
        <f>Q43+Q46+Q47+Q48</f>
        <v>#REF!</v>
      </c>
      <c r="R41" s="15" t="e">
        <f aca="true" t="shared" si="16" ref="R41:W41">R43+R46+R47</f>
        <v>#REF!</v>
      </c>
      <c r="S41" s="15" t="e">
        <f t="shared" si="16"/>
        <v>#REF!</v>
      </c>
      <c r="T41" s="15" t="e">
        <f t="shared" si="16"/>
        <v>#REF!</v>
      </c>
      <c r="U41" s="15" t="e">
        <f t="shared" si="16"/>
        <v>#REF!</v>
      </c>
      <c r="V41" s="15">
        <f t="shared" si="16"/>
        <v>0</v>
      </c>
      <c r="W41" s="15">
        <f t="shared" si="16"/>
        <v>14817.53</v>
      </c>
    </row>
    <row r="42" spans="1:23" ht="15.75">
      <c r="A42" s="36"/>
      <c r="B42" s="75" t="s">
        <v>127</v>
      </c>
      <c r="C42" s="19"/>
      <c r="D42" s="19"/>
      <c r="E42" s="19"/>
      <c r="F42" s="8"/>
      <c r="G42" s="8"/>
      <c r="H42" s="8">
        <v>0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3">
        <f t="shared" si="14"/>
        <v>0</v>
      </c>
      <c r="V42" s="15"/>
      <c r="W42" s="15"/>
    </row>
    <row r="43" spans="1:25" s="38" customFormat="1" ht="15.75">
      <c r="A43" s="76"/>
      <c r="B43" s="74" t="s">
        <v>154</v>
      </c>
      <c r="C43" s="77"/>
      <c r="D43" s="77"/>
      <c r="E43" s="77"/>
      <c r="F43" s="75"/>
      <c r="G43" s="69">
        <f>1429.24+9374+746.963+10388.257</f>
        <v>21938.46</v>
      </c>
      <c r="H43" s="69">
        <v>86494.81539360002</v>
      </c>
      <c r="I43" s="37" t="e">
        <f>#REF!/1000*1.12+I44</f>
        <v>#REF!</v>
      </c>
      <c r="J43" s="37" t="e">
        <f>#REF!/1000*1.12+J44</f>
        <v>#REF!</v>
      </c>
      <c r="K43" s="37" t="e">
        <f>#REF!/1000*1.12+K44</f>
        <v>#REF!</v>
      </c>
      <c r="L43" s="37" t="e">
        <f>#REF!/1000*1.12</f>
        <v>#REF!</v>
      </c>
      <c r="M43" s="37" t="e">
        <f>#REF!/1000*1.12-5000</f>
        <v>#REF!</v>
      </c>
      <c r="N43" s="37" t="e">
        <f>#REF!/1000*1.12-5000</f>
        <v>#REF!</v>
      </c>
      <c r="O43" s="37" t="e">
        <f>#REF!/1000*1.12</f>
        <v>#REF!</v>
      </c>
      <c r="P43" s="37" t="e">
        <f>#REF!/1000*1.12-5000</f>
        <v>#REF!</v>
      </c>
      <c r="Q43" s="37" t="e">
        <f>#REF!/1000*1.12</f>
        <v>#REF!</v>
      </c>
      <c r="R43" s="37" t="e">
        <f>#REF!/1000*1.12</f>
        <v>#REF!</v>
      </c>
      <c r="S43" s="37" t="e">
        <f>#REF!/1000*1.12</f>
        <v>#REF!</v>
      </c>
      <c r="T43" s="37" t="e">
        <f>#REF!/1000*1.12</f>
        <v>#REF!</v>
      </c>
      <c r="U43" s="37" t="e">
        <f t="shared" si="14"/>
        <v>#REF!</v>
      </c>
      <c r="V43" s="37"/>
      <c r="W43" s="37">
        <v>14817.53</v>
      </c>
      <c r="X43" s="104"/>
      <c r="Y43" s="101"/>
    </row>
    <row r="44" spans="1:25" s="132" customFormat="1" ht="12.75">
      <c r="A44" s="123"/>
      <c r="B44" s="124" t="s">
        <v>117</v>
      </c>
      <c r="C44" s="125"/>
      <c r="D44" s="125"/>
      <c r="E44" s="125"/>
      <c r="F44" s="126"/>
      <c r="G44" s="127">
        <f>1429.24+9374+746.963+10388.257</f>
        <v>21938.46</v>
      </c>
      <c r="H44" s="127"/>
      <c r="I44" s="128">
        <v>2033.35</v>
      </c>
      <c r="J44" s="128">
        <f>7312.82*2-2033.35</f>
        <v>12592.289999999999</v>
      </c>
      <c r="K44" s="128">
        <v>7312.82</v>
      </c>
      <c r="L44" s="128"/>
      <c r="M44" s="128"/>
      <c r="N44" s="128"/>
      <c r="O44" s="128"/>
      <c r="P44" s="128"/>
      <c r="Q44" s="128"/>
      <c r="R44" s="128"/>
      <c r="S44" s="128"/>
      <c r="T44" s="128"/>
      <c r="U44" s="133">
        <f t="shared" si="14"/>
        <v>21938.46</v>
      </c>
      <c r="V44" s="128"/>
      <c r="W44" s="128"/>
      <c r="X44" s="130"/>
      <c r="Y44" s="131"/>
    </row>
    <row r="45" spans="1:25" s="132" customFormat="1" ht="12.75" hidden="1">
      <c r="A45" s="123"/>
      <c r="B45" s="135"/>
      <c r="C45" s="125"/>
      <c r="D45" s="125"/>
      <c r="E45" s="125"/>
      <c r="F45" s="126"/>
      <c r="G45" s="127"/>
      <c r="H45" s="127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33"/>
      <c r="V45" s="128"/>
      <c r="W45" s="128"/>
      <c r="X45" s="130"/>
      <c r="Y45" s="131"/>
    </row>
    <row r="46" spans="1:25" s="38" customFormat="1" ht="15.75">
      <c r="A46" s="76"/>
      <c r="B46" s="74" t="s">
        <v>8</v>
      </c>
      <c r="C46" s="77"/>
      <c r="D46" s="77"/>
      <c r="E46" s="77"/>
      <c r="F46" s="75"/>
      <c r="G46" s="75"/>
      <c r="H46" s="75">
        <v>11739.100800000002</v>
      </c>
      <c r="I46" s="37" t="e">
        <f>#REF!*1.12</f>
        <v>#REF!</v>
      </c>
      <c r="J46" s="37"/>
      <c r="K46" s="37"/>
      <c r="L46" s="37" t="e">
        <f>#REF!*1.12</f>
        <v>#REF!</v>
      </c>
      <c r="M46" s="37" t="e">
        <f>#REF!*1.12</f>
        <v>#REF!</v>
      </c>
      <c r="N46" s="37" t="e">
        <f>#REF!*1.12</f>
        <v>#REF!</v>
      </c>
      <c r="O46" s="37" t="e">
        <f>#REF!*1.12</f>
        <v>#REF!</v>
      </c>
      <c r="P46" s="37" t="e">
        <f>#REF!*1.12</f>
        <v>#REF!</v>
      </c>
      <c r="Q46" s="37" t="e">
        <f>#REF!*1.12</f>
        <v>#REF!</v>
      </c>
      <c r="R46" s="37" t="e">
        <f>#REF!*1.12</f>
        <v>#REF!</v>
      </c>
      <c r="S46" s="37" t="e">
        <f>#REF!*1.12</f>
        <v>#REF!</v>
      </c>
      <c r="T46" s="37" t="e">
        <f>#REF!*1.12</f>
        <v>#REF!</v>
      </c>
      <c r="U46" s="13" t="e">
        <f t="shared" si="14"/>
        <v>#REF!</v>
      </c>
      <c r="V46" s="37"/>
      <c r="W46" s="37"/>
      <c r="X46" s="101"/>
      <c r="Y46" s="101"/>
    </row>
    <row r="47" spans="1:25" s="38" customFormat="1" ht="15.75">
      <c r="A47" s="76"/>
      <c r="B47" s="74" t="s">
        <v>47</v>
      </c>
      <c r="C47" s="77"/>
      <c r="D47" s="77"/>
      <c r="E47" s="77"/>
      <c r="F47" s="75"/>
      <c r="G47" s="75"/>
      <c r="H47" s="75">
        <v>7817.601000000001</v>
      </c>
      <c r="I47" s="37" t="e">
        <f>#REF!</f>
        <v>#REF!</v>
      </c>
      <c r="J47" s="37" t="e">
        <f>#REF!</f>
        <v>#REF!</v>
      </c>
      <c r="K47" s="37" t="e">
        <f>#REF!</f>
        <v>#REF!</v>
      </c>
      <c r="L47" s="37" t="e">
        <f>#REF!</f>
        <v>#REF!</v>
      </c>
      <c r="M47" s="37" t="e">
        <f>#REF!</f>
        <v>#REF!</v>
      </c>
      <c r="N47" s="37" t="e">
        <f>#REF!</f>
        <v>#REF!</v>
      </c>
      <c r="O47" s="37" t="e">
        <f>#REF!</f>
        <v>#REF!</v>
      </c>
      <c r="P47" s="37" t="e">
        <f>#REF!</f>
        <v>#REF!</v>
      </c>
      <c r="Q47" s="37" t="e">
        <f>#REF!</f>
        <v>#REF!</v>
      </c>
      <c r="R47" s="37" t="e">
        <f>#REF!</f>
        <v>#REF!</v>
      </c>
      <c r="S47" s="37" t="e">
        <f>#REF!</f>
        <v>#REF!</v>
      </c>
      <c r="T47" s="37" t="e">
        <f>#REF!</f>
        <v>#REF!</v>
      </c>
      <c r="U47" s="13" t="e">
        <f t="shared" si="14"/>
        <v>#REF!</v>
      </c>
      <c r="V47" s="37"/>
      <c r="W47" s="37"/>
      <c r="X47" s="101"/>
      <c r="Y47" s="101"/>
    </row>
    <row r="48" spans="1:25" s="38" customFormat="1" ht="15.75">
      <c r="A48" s="76"/>
      <c r="B48" s="74" t="s">
        <v>48</v>
      </c>
      <c r="C48" s="77"/>
      <c r="D48" s="77"/>
      <c r="E48" s="77"/>
      <c r="F48" s="69"/>
      <c r="G48" s="75"/>
      <c r="H48" s="75">
        <v>0</v>
      </c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13">
        <f t="shared" si="14"/>
        <v>0</v>
      </c>
      <c r="V48" s="37"/>
      <c r="W48" s="37"/>
      <c r="X48" s="101"/>
      <c r="Y48" s="101"/>
    </row>
    <row r="49" spans="1:25" ht="15.75">
      <c r="A49" s="36" t="s">
        <v>56</v>
      </c>
      <c r="B49" s="57" t="s">
        <v>156</v>
      </c>
      <c r="C49" s="19" t="s">
        <v>126</v>
      </c>
      <c r="D49" s="19"/>
      <c r="E49" s="19"/>
      <c r="F49" s="13">
        <v>17.245</v>
      </c>
      <c r="G49" s="13">
        <f>13.292+13.82+748.839</f>
        <v>775.951</v>
      </c>
      <c r="H49" s="13">
        <v>9336.488360000001</v>
      </c>
      <c r="I49" s="44">
        <f>G49</f>
        <v>775.951</v>
      </c>
      <c r="J49" s="44" t="e">
        <f>(#REF!+#REF!)*1.12</f>
        <v>#REF!</v>
      </c>
      <c r="K49" s="44" t="e">
        <f>(#REF!+#REF!)*1.12</f>
        <v>#REF!</v>
      </c>
      <c r="L49" s="44" t="e">
        <f>(#REF!+#REF!)*1.12</f>
        <v>#REF!</v>
      </c>
      <c r="M49" s="44" t="e">
        <f>(#REF!+#REF!)*1.12</f>
        <v>#REF!</v>
      </c>
      <c r="N49" s="44" t="e">
        <f>(#REF!+#REF!)*1.12</f>
        <v>#REF!</v>
      </c>
      <c r="O49" s="44" t="e">
        <f>(#REF!+#REF!)*1.12</f>
        <v>#REF!</v>
      </c>
      <c r="P49" s="44" t="e">
        <f>(#REF!+#REF!)*1.12</f>
        <v>#REF!</v>
      </c>
      <c r="Q49" s="44" t="e">
        <f>(#REF!+#REF!)*1.12</f>
        <v>#REF!</v>
      </c>
      <c r="R49" s="44" t="e">
        <f>(#REF!+#REF!)*1.12</f>
        <v>#REF!</v>
      </c>
      <c r="S49" s="44" t="e">
        <f>(#REF!+#REF!)*1.12</f>
        <v>#REF!</v>
      </c>
      <c r="T49" s="44" t="e">
        <f>(#REF!+#REF!)*1.12</f>
        <v>#REF!</v>
      </c>
      <c r="U49" s="13" t="e">
        <f>SUM(I49:T49)</f>
        <v>#REF!</v>
      </c>
      <c r="V49" s="15"/>
      <c r="W49" s="15" t="e">
        <f>(#REF!+#REF!)*1.12</f>
        <v>#REF!</v>
      </c>
      <c r="X49" s="5"/>
      <c r="Y49" s="101"/>
    </row>
    <row r="50" spans="1:25" s="25" customFormat="1" ht="31.5">
      <c r="A50" s="36" t="s">
        <v>57</v>
      </c>
      <c r="B50" s="15" t="s">
        <v>157</v>
      </c>
      <c r="C50" s="19" t="s">
        <v>126</v>
      </c>
      <c r="D50" s="22"/>
      <c r="E50" s="22"/>
      <c r="F50" s="13"/>
      <c r="G50" s="13">
        <v>1023.811</v>
      </c>
      <c r="H50" s="13" t="e">
        <f>SUM(I50:T50)</f>
        <v>#REF!</v>
      </c>
      <c r="I50" s="44">
        <f>G50</f>
        <v>1023.811</v>
      </c>
      <c r="J50" s="44" t="e">
        <f>#REF!*1.12</f>
        <v>#REF!</v>
      </c>
      <c r="K50" s="44" t="e">
        <f>#REF!*1.12</f>
        <v>#REF!</v>
      </c>
      <c r="L50" s="44" t="e">
        <f>#REF!*1.12</f>
        <v>#REF!</v>
      </c>
      <c r="M50" s="44" t="e">
        <f>#REF!*1.12</f>
        <v>#REF!</v>
      </c>
      <c r="N50" s="44" t="e">
        <f>#REF!*1.12</f>
        <v>#REF!</v>
      </c>
      <c r="O50" s="44" t="e">
        <f>#REF!*1.12</f>
        <v>#REF!</v>
      </c>
      <c r="P50" s="44" t="e">
        <f>#REF!*1.12</f>
        <v>#REF!</v>
      </c>
      <c r="Q50" s="44" t="e">
        <f>#REF!*1.12</f>
        <v>#REF!</v>
      </c>
      <c r="R50" s="44" t="e">
        <f>#REF!*1.12</f>
        <v>#REF!</v>
      </c>
      <c r="S50" s="44" t="e">
        <f>#REF!*1.12</f>
        <v>#REF!</v>
      </c>
      <c r="T50" s="44" t="e">
        <f>#REF!*1.12</f>
        <v>#REF!</v>
      </c>
      <c r="U50" s="13" t="e">
        <f>SUM(I50:T50)</f>
        <v>#REF!</v>
      </c>
      <c r="V50" s="15"/>
      <c r="W50" s="15" t="e">
        <f>#REF!*1.12</f>
        <v>#REF!</v>
      </c>
      <c r="X50" s="71"/>
      <c r="Y50" s="101"/>
    </row>
    <row r="51" spans="1:25" s="38" customFormat="1" ht="15.75">
      <c r="A51" s="36" t="s">
        <v>58</v>
      </c>
      <c r="B51" s="15" t="s">
        <v>233</v>
      </c>
      <c r="C51" s="19" t="s">
        <v>126</v>
      </c>
      <c r="D51" s="19"/>
      <c r="E51" s="19"/>
      <c r="F51" s="13"/>
      <c r="G51" s="15">
        <f aca="true" t="shared" si="17" ref="G51:W51">G53+G54+G55</f>
        <v>2651.2459999999996</v>
      </c>
      <c r="H51" s="15">
        <v>19980.5459211296</v>
      </c>
      <c r="I51" s="44" t="e">
        <f t="shared" si="17"/>
        <v>#REF!</v>
      </c>
      <c r="J51" s="44" t="e">
        <f t="shared" si="17"/>
        <v>#REF!</v>
      </c>
      <c r="K51" s="44" t="e">
        <f t="shared" si="17"/>
        <v>#REF!</v>
      </c>
      <c r="L51" s="44" t="e">
        <f t="shared" si="17"/>
        <v>#REF!</v>
      </c>
      <c r="M51" s="44" t="e">
        <f t="shared" si="17"/>
        <v>#REF!</v>
      </c>
      <c r="N51" s="44" t="e">
        <f t="shared" si="17"/>
        <v>#REF!</v>
      </c>
      <c r="O51" s="44" t="e">
        <f t="shared" si="17"/>
        <v>#REF!</v>
      </c>
      <c r="P51" s="44" t="e">
        <f t="shared" si="17"/>
        <v>#REF!</v>
      </c>
      <c r="Q51" s="44" t="e">
        <f t="shared" si="17"/>
        <v>#REF!</v>
      </c>
      <c r="R51" s="44" t="e">
        <f t="shared" si="17"/>
        <v>#REF!</v>
      </c>
      <c r="S51" s="44" t="e">
        <f t="shared" si="17"/>
        <v>#REF!</v>
      </c>
      <c r="T51" s="44" t="e">
        <f t="shared" si="17"/>
        <v>#REF!</v>
      </c>
      <c r="U51" s="44" t="e">
        <f t="shared" si="17"/>
        <v>#REF!</v>
      </c>
      <c r="V51" s="44">
        <f t="shared" si="17"/>
        <v>0</v>
      </c>
      <c r="W51" s="44">
        <f t="shared" si="17"/>
        <v>2708.9500000000003</v>
      </c>
      <c r="X51" s="101"/>
      <c r="Y51" s="101"/>
    </row>
    <row r="52" spans="1:25" s="38" customFormat="1" ht="15.75">
      <c r="A52" s="76"/>
      <c r="B52" s="80" t="s">
        <v>127</v>
      </c>
      <c r="C52" s="77"/>
      <c r="D52" s="77"/>
      <c r="E52" s="77"/>
      <c r="F52" s="69"/>
      <c r="G52" s="37"/>
      <c r="H52" s="37">
        <v>0</v>
      </c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13">
        <f aca="true" t="shared" si="18" ref="U52:U57">SUM(I52:T52)</f>
        <v>0</v>
      </c>
      <c r="V52" s="37"/>
      <c r="W52" s="37"/>
      <c r="X52" s="101"/>
      <c r="Y52" s="101"/>
    </row>
    <row r="53" spans="1:25" s="38" customFormat="1" ht="15.75">
      <c r="A53" s="76"/>
      <c r="B53" s="78" t="s">
        <v>16</v>
      </c>
      <c r="C53" s="77"/>
      <c r="D53" s="77"/>
      <c r="E53" s="77"/>
      <c r="F53" s="69"/>
      <c r="G53" s="37">
        <v>2583.075</v>
      </c>
      <c r="H53" s="37">
        <v>18729.612122496</v>
      </c>
      <c r="I53" s="79">
        <v>2583.08</v>
      </c>
      <c r="J53" s="79" t="e">
        <f>#REF!*1.12</f>
        <v>#REF!</v>
      </c>
      <c r="K53" s="79" t="e">
        <f>#REF!*1.12</f>
        <v>#REF!</v>
      </c>
      <c r="L53" s="79" t="e">
        <f>#REF!*1.12</f>
        <v>#REF!</v>
      </c>
      <c r="M53" s="79" t="e">
        <f>#REF!*1.12</f>
        <v>#REF!</v>
      </c>
      <c r="N53" s="79" t="e">
        <f>#REF!*1.12</f>
        <v>#REF!</v>
      </c>
      <c r="O53" s="79" t="e">
        <f>#REF!*1.12</f>
        <v>#REF!</v>
      </c>
      <c r="P53" s="79" t="e">
        <f>#REF!*1.12</f>
        <v>#REF!</v>
      </c>
      <c r="Q53" s="79" t="e">
        <f>#REF!*1.12</f>
        <v>#REF!</v>
      </c>
      <c r="R53" s="79" t="e">
        <f>#REF!*1.12</f>
        <v>#REF!</v>
      </c>
      <c r="S53" s="79" t="e">
        <f>#REF!*1.12</f>
        <v>#REF!</v>
      </c>
      <c r="T53" s="79" t="e">
        <f>#REF!*1.12</f>
        <v>#REF!</v>
      </c>
      <c r="U53" s="13" t="e">
        <f t="shared" si="18"/>
        <v>#REF!</v>
      </c>
      <c r="V53" s="37"/>
      <c r="W53" s="37">
        <v>2583</v>
      </c>
      <c r="X53" s="101"/>
      <c r="Y53" s="101"/>
    </row>
    <row r="54" spans="1:25" s="38" customFormat="1" ht="15.75">
      <c r="A54" s="76"/>
      <c r="B54" s="78" t="s">
        <v>51</v>
      </c>
      <c r="C54" s="77"/>
      <c r="D54" s="77"/>
      <c r="E54" s="77"/>
      <c r="F54" s="69"/>
      <c r="G54" s="37">
        <f>5.673+39.376</f>
        <v>45.049</v>
      </c>
      <c r="H54" s="37">
        <v>752.1281904</v>
      </c>
      <c r="I54" s="79" t="e">
        <f>#REF!*1.12</f>
        <v>#REF!</v>
      </c>
      <c r="J54" s="79" t="e">
        <f>#REF!*1.12</f>
        <v>#REF!</v>
      </c>
      <c r="K54" s="79" t="e">
        <f>#REF!*1.12</f>
        <v>#REF!</v>
      </c>
      <c r="L54" s="79" t="e">
        <f>#REF!*1.12</f>
        <v>#REF!</v>
      </c>
      <c r="M54" s="79" t="e">
        <f>#REF!*1.12</f>
        <v>#REF!</v>
      </c>
      <c r="N54" s="79" t="e">
        <f>#REF!*1.12</f>
        <v>#REF!</v>
      </c>
      <c r="O54" s="79" t="e">
        <f>#REF!*1.12</f>
        <v>#REF!</v>
      </c>
      <c r="P54" s="79" t="e">
        <f>#REF!*1.12</f>
        <v>#REF!</v>
      </c>
      <c r="Q54" s="79" t="e">
        <f>#REF!*1.12</f>
        <v>#REF!</v>
      </c>
      <c r="R54" s="79" t="e">
        <f>#REF!*1.12</f>
        <v>#REF!</v>
      </c>
      <c r="S54" s="79" t="e">
        <f>#REF!*1.12</f>
        <v>#REF!</v>
      </c>
      <c r="T54" s="79" t="e">
        <f>#REF!*1.12</f>
        <v>#REF!</v>
      </c>
      <c r="U54" s="13" t="e">
        <f t="shared" si="18"/>
        <v>#REF!</v>
      </c>
      <c r="V54" s="37"/>
      <c r="W54" s="37">
        <v>68.88</v>
      </c>
      <c r="X54" s="101"/>
      <c r="Y54" s="101"/>
    </row>
    <row r="55" spans="1:25" s="38" customFormat="1" ht="15.75">
      <c r="A55" s="76"/>
      <c r="B55" s="78" t="s">
        <v>52</v>
      </c>
      <c r="C55" s="77"/>
      <c r="D55" s="77"/>
      <c r="E55" s="77"/>
      <c r="F55" s="69"/>
      <c r="G55" s="37">
        <f>7.656+15.466</f>
        <v>23.122</v>
      </c>
      <c r="H55" s="37">
        <v>498.8056082336001</v>
      </c>
      <c r="I55" s="79">
        <v>15.466</v>
      </c>
      <c r="J55" s="79" t="e">
        <f>#REF!*1.12</f>
        <v>#REF!</v>
      </c>
      <c r="K55" s="79" t="e">
        <f>#REF!*1.12</f>
        <v>#REF!</v>
      </c>
      <c r="L55" s="79" t="e">
        <f>#REF!*1.12</f>
        <v>#REF!</v>
      </c>
      <c r="M55" s="79" t="e">
        <f>#REF!*1.12</f>
        <v>#REF!</v>
      </c>
      <c r="N55" s="79" t="e">
        <f>#REF!*1.12</f>
        <v>#REF!</v>
      </c>
      <c r="O55" s="79" t="e">
        <f>#REF!*1.12</f>
        <v>#REF!</v>
      </c>
      <c r="P55" s="79" t="e">
        <f>#REF!*1.12</f>
        <v>#REF!</v>
      </c>
      <c r="Q55" s="79" t="e">
        <f>#REF!*1.12</f>
        <v>#REF!</v>
      </c>
      <c r="R55" s="79" t="e">
        <f>#REF!*1.12</f>
        <v>#REF!</v>
      </c>
      <c r="S55" s="79" t="e">
        <f>#REF!*1.12</f>
        <v>#REF!</v>
      </c>
      <c r="T55" s="79" t="e">
        <f>#REF!*1.12</f>
        <v>#REF!</v>
      </c>
      <c r="U55" s="13" t="e">
        <f t="shared" si="18"/>
        <v>#REF!</v>
      </c>
      <c r="V55" s="37"/>
      <c r="W55" s="37">
        <v>57.07</v>
      </c>
      <c r="X55" s="101"/>
      <c r="Y55" s="101"/>
    </row>
    <row r="56" spans="1:25" s="38" customFormat="1" ht="15.75">
      <c r="A56" s="36" t="s">
        <v>59</v>
      </c>
      <c r="B56" s="15" t="s">
        <v>158</v>
      </c>
      <c r="C56" s="19" t="s">
        <v>126</v>
      </c>
      <c r="D56" s="19"/>
      <c r="E56" s="19"/>
      <c r="F56" s="8"/>
      <c r="G56" s="15">
        <v>18.01</v>
      </c>
      <c r="H56" s="15">
        <v>338.49100000000004</v>
      </c>
      <c r="I56" s="15">
        <v>18.01</v>
      </c>
      <c r="J56" s="15" t="e">
        <f>#REF!</f>
        <v>#REF!</v>
      </c>
      <c r="K56" s="15" t="e">
        <f>#REF!</f>
        <v>#REF!</v>
      </c>
      <c r="L56" s="15" t="e">
        <f>#REF!</f>
        <v>#REF!</v>
      </c>
      <c r="M56" s="15" t="e">
        <f>#REF!</f>
        <v>#REF!</v>
      </c>
      <c r="N56" s="15" t="e">
        <f>#REF!</f>
        <v>#REF!</v>
      </c>
      <c r="O56" s="15" t="e">
        <f>#REF!</f>
        <v>#REF!</v>
      </c>
      <c r="P56" s="15" t="e">
        <f>#REF!</f>
        <v>#REF!</v>
      </c>
      <c r="Q56" s="15" t="e">
        <f>#REF!</f>
        <v>#REF!</v>
      </c>
      <c r="R56" s="15" t="e">
        <f>#REF!</f>
        <v>#REF!</v>
      </c>
      <c r="S56" s="15" t="e">
        <f>#REF!</f>
        <v>#REF!</v>
      </c>
      <c r="T56" s="15" t="e">
        <f>#REF!</f>
        <v>#REF!</v>
      </c>
      <c r="U56" s="13" t="e">
        <f t="shared" si="18"/>
        <v>#REF!</v>
      </c>
      <c r="V56" s="15"/>
      <c r="W56" s="15">
        <v>25.95</v>
      </c>
      <c r="X56" s="101"/>
      <c r="Y56" s="101"/>
    </row>
    <row r="57" spans="1:25" s="38" customFormat="1" ht="15.75">
      <c r="A57" s="36" t="s">
        <v>60</v>
      </c>
      <c r="B57" s="15" t="s">
        <v>159</v>
      </c>
      <c r="C57" s="19" t="s">
        <v>126</v>
      </c>
      <c r="D57" s="19"/>
      <c r="E57" s="19"/>
      <c r="F57" s="13"/>
      <c r="G57" s="13"/>
      <c r="H57" s="13">
        <v>62.1</v>
      </c>
      <c r="I57" s="15" t="e">
        <f>#REF!</f>
        <v>#REF!</v>
      </c>
      <c r="J57" s="15" t="e">
        <f>#REF!</f>
        <v>#REF!</v>
      </c>
      <c r="K57" s="15" t="e">
        <f>#REF!</f>
        <v>#REF!</v>
      </c>
      <c r="L57" s="15" t="e">
        <f>#REF!</f>
        <v>#REF!</v>
      </c>
      <c r="M57" s="15" t="e">
        <f>#REF!</f>
        <v>#REF!</v>
      </c>
      <c r="N57" s="15" t="e">
        <f>#REF!</f>
        <v>#REF!</v>
      </c>
      <c r="O57" s="15" t="e">
        <f>#REF!</f>
        <v>#REF!</v>
      </c>
      <c r="P57" s="15" t="e">
        <f>#REF!</f>
        <v>#REF!</v>
      </c>
      <c r="Q57" s="15" t="e">
        <f>#REF!</f>
        <v>#REF!</v>
      </c>
      <c r="R57" s="15" t="e">
        <f>#REF!</f>
        <v>#REF!</v>
      </c>
      <c r="S57" s="15" t="e">
        <f>#REF!</f>
        <v>#REF!</v>
      </c>
      <c r="T57" s="15" t="e">
        <f>#REF!</f>
        <v>#REF!</v>
      </c>
      <c r="U57" s="13" t="e">
        <f t="shared" si="18"/>
        <v>#REF!</v>
      </c>
      <c r="V57" s="15"/>
      <c r="W57" s="37"/>
      <c r="X57" s="101"/>
      <c r="Y57" s="101"/>
    </row>
    <row r="58" spans="1:25" s="40" customFormat="1" ht="15.75">
      <c r="A58" s="36" t="s">
        <v>61</v>
      </c>
      <c r="B58" s="15" t="s">
        <v>160</v>
      </c>
      <c r="C58" s="19" t="s">
        <v>126</v>
      </c>
      <c r="D58" s="22"/>
      <c r="E58" s="22"/>
      <c r="F58" s="93"/>
      <c r="G58" s="23"/>
      <c r="H58" s="23">
        <v>130</v>
      </c>
      <c r="I58" s="15" t="e">
        <f>#REF!*1.12</f>
        <v>#REF!</v>
      </c>
      <c r="J58" s="15" t="e">
        <f>#REF!*1.12</f>
        <v>#REF!</v>
      </c>
      <c r="K58" s="15" t="e">
        <f>#REF!*1.12</f>
        <v>#REF!</v>
      </c>
      <c r="L58" s="15" t="e">
        <f>#REF!*1.12</f>
        <v>#REF!</v>
      </c>
      <c r="M58" s="15" t="e">
        <f>#REF!*1.12</f>
        <v>#REF!</v>
      </c>
      <c r="N58" s="15" t="e">
        <f>#REF!*1.12</f>
        <v>#REF!</v>
      </c>
      <c r="O58" s="15" t="e">
        <f>#REF!*1.12</f>
        <v>#REF!</v>
      </c>
      <c r="P58" s="15" t="e">
        <f>#REF!*1.12</f>
        <v>#REF!</v>
      </c>
      <c r="Q58" s="15" t="e">
        <f>#REF!*1.12</f>
        <v>#REF!</v>
      </c>
      <c r="R58" s="15" t="e">
        <f>#REF!*1.12</f>
        <v>#REF!</v>
      </c>
      <c r="S58" s="15" t="e">
        <f>#REF!*1.12</f>
        <v>#REF!</v>
      </c>
      <c r="T58" s="15" t="e">
        <f>#REF!*1.12</f>
        <v>#REF!</v>
      </c>
      <c r="U58" s="13" t="e">
        <f aca="true" t="shared" si="19" ref="U58:U71">SUM(I58:T58)</f>
        <v>#REF!</v>
      </c>
      <c r="V58" s="39"/>
      <c r="W58" s="39"/>
      <c r="X58" s="102"/>
      <c r="Y58" s="102"/>
    </row>
    <row r="59" spans="1:24" s="42" customFormat="1" ht="15.75">
      <c r="A59" s="36" t="s">
        <v>62</v>
      </c>
      <c r="B59" s="15" t="s">
        <v>204</v>
      </c>
      <c r="C59" s="19" t="s">
        <v>126</v>
      </c>
      <c r="D59" s="19"/>
      <c r="E59" s="19"/>
      <c r="F59" s="17"/>
      <c r="G59" s="17"/>
      <c r="H59" s="17">
        <v>195.00320000000002</v>
      </c>
      <c r="I59" s="15" t="e">
        <f>#REF!*1.12</f>
        <v>#REF!</v>
      </c>
      <c r="J59" s="15" t="e">
        <f>#REF!*1.12</f>
        <v>#REF!</v>
      </c>
      <c r="K59" s="15" t="e">
        <f>#REF!*1.12</f>
        <v>#REF!</v>
      </c>
      <c r="L59" s="15" t="e">
        <f>#REF!*1.12</f>
        <v>#REF!</v>
      </c>
      <c r="M59" s="15" t="e">
        <f>#REF!*1.12</f>
        <v>#REF!</v>
      </c>
      <c r="N59" s="15" t="e">
        <f>#REF!*1.12</f>
        <v>#REF!</v>
      </c>
      <c r="O59" s="15" t="e">
        <f>#REF!*1.12</f>
        <v>#REF!</v>
      </c>
      <c r="P59" s="15" t="e">
        <f>#REF!*1.12</f>
        <v>#REF!</v>
      </c>
      <c r="Q59" s="15" t="e">
        <f>#REF!*1.12</f>
        <v>#REF!</v>
      </c>
      <c r="R59" s="15" t="e">
        <f>#REF!*1.12</f>
        <v>#REF!</v>
      </c>
      <c r="S59" s="15" t="e">
        <f>#REF!*1.12</f>
        <v>#REF!</v>
      </c>
      <c r="T59" s="15" t="e">
        <f>#REF!*1.12</f>
        <v>#REF!</v>
      </c>
      <c r="U59" s="13" t="e">
        <f t="shared" si="19"/>
        <v>#REF!</v>
      </c>
      <c r="V59" s="17"/>
      <c r="W59" s="17"/>
      <c r="X59" s="102"/>
    </row>
    <row r="60" spans="1:25" s="42" customFormat="1" ht="31.5">
      <c r="A60" s="36" t="s">
        <v>63</v>
      </c>
      <c r="B60" s="15" t="s">
        <v>205</v>
      </c>
      <c r="C60" s="19" t="s">
        <v>126</v>
      </c>
      <c r="D60" s="19"/>
      <c r="E60" s="19"/>
      <c r="F60" s="17"/>
      <c r="G60" s="13">
        <v>75</v>
      </c>
      <c r="H60" s="13">
        <v>867.6</v>
      </c>
      <c r="I60" s="13">
        <f>G60</f>
        <v>75</v>
      </c>
      <c r="J60" s="13" t="e">
        <f>#REF!*1.12</f>
        <v>#REF!</v>
      </c>
      <c r="K60" s="13" t="e">
        <f>#REF!*1.12</f>
        <v>#REF!</v>
      </c>
      <c r="L60" s="13" t="e">
        <f>#REF!*1.12</f>
        <v>#REF!</v>
      </c>
      <c r="M60" s="13" t="e">
        <f>#REF!*1.12</f>
        <v>#REF!</v>
      </c>
      <c r="N60" s="13" t="e">
        <f>#REF!*1.12</f>
        <v>#REF!</v>
      </c>
      <c r="O60" s="13" t="e">
        <f>#REF!*1.12</f>
        <v>#REF!</v>
      </c>
      <c r="P60" s="13" t="e">
        <f>#REF!*1.12</f>
        <v>#REF!</v>
      </c>
      <c r="Q60" s="13" t="e">
        <f>#REF!*1.12</f>
        <v>#REF!</v>
      </c>
      <c r="R60" s="13" t="e">
        <f>#REF!*1.12</f>
        <v>#REF!</v>
      </c>
      <c r="S60" s="13" t="e">
        <f>#REF!*1.12</f>
        <v>#REF!</v>
      </c>
      <c r="T60" s="13" t="e">
        <f>#REF!*1.12</f>
        <v>#REF!</v>
      </c>
      <c r="U60" s="13" t="e">
        <f t="shared" si="19"/>
        <v>#REF!</v>
      </c>
      <c r="V60" s="17"/>
      <c r="W60" s="13">
        <v>123.1</v>
      </c>
      <c r="X60" s="102"/>
      <c r="Y60" s="107"/>
    </row>
    <row r="61" spans="1:25" s="42" customFormat="1" ht="15.75">
      <c r="A61" s="36" t="s">
        <v>64</v>
      </c>
      <c r="B61" s="15" t="s">
        <v>75</v>
      </c>
      <c r="C61" s="19" t="s">
        <v>126</v>
      </c>
      <c r="D61" s="19"/>
      <c r="E61" s="19"/>
      <c r="F61" s="13"/>
      <c r="G61" s="13">
        <v>90</v>
      </c>
      <c r="H61" s="13">
        <v>1669.7632</v>
      </c>
      <c r="I61" s="13">
        <v>90</v>
      </c>
      <c r="J61" s="13" t="e">
        <f>#REF!*1.12</f>
        <v>#REF!</v>
      </c>
      <c r="K61" s="13" t="e">
        <f>#REF!*1.12</f>
        <v>#REF!</v>
      </c>
      <c r="L61" s="13" t="e">
        <f>#REF!*1.12</f>
        <v>#REF!</v>
      </c>
      <c r="M61" s="13" t="e">
        <f>#REF!*1.12</f>
        <v>#REF!</v>
      </c>
      <c r="N61" s="13" t="e">
        <f>#REF!*1.12</f>
        <v>#REF!</v>
      </c>
      <c r="O61" s="13" t="e">
        <f>#REF!*1.12</f>
        <v>#REF!</v>
      </c>
      <c r="P61" s="13" t="e">
        <f>#REF!*1.12</f>
        <v>#REF!</v>
      </c>
      <c r="Q61" s="13" t="e">
        <f>#REF!*1.12</f>
        <v>#REF!</v>
      </c>
      <c r="R61" s="13" t="e">
        <f>#REF!*1.12</f>
        <v>#REF!</v>
      </c>
      <c r="S61" s="13" t="e">
        <f>#REF!*1.12</f>
        <v>#REF!</v>
      </c>
      <c r="T61" s="13" t="e">
        <f>#REF!*1.12</f>
        <v>#REF!</v>
      </c>
      <c r="U61" s="13" t="e">
        <f t="shared" si="19"/>
        <v>#REF!</v>
      </c>
      <c r="V61" s="17"/>
      <c r="W61" s="13">
        <v>104.12</v>
      </c>
      <c r="X61" s="102"/>
      <c r="Y61" s="107"/>
    </row>
    <row r="62" spans="1:24" s="42" customFormat="1" ht="15.75">
      <c r="A62" s="36" t="s">
        <v>65</v>
      </c>
      <c r="B62" s="15" t="s">
        <v>234</v>
      </c>
      <c r="C62" s="19" t="s">
        <v>126</v>
      </c>
      <c r="D62" s="19"/>
      <c r="E62" s="19"/>
      <c r="F62" s="17"/>
      <c r="G62" s="17"/>
      <c r="H62" s="17">
        <v>12715.002467999997</v>
      </c>
      <c r="I62" s="13" t="e">
        <f>#REF!+#REF!</f>
        <v>#REF!</v>
      </c>
      <c r="J62" s="13" t="e">
        <f>#REF!+#REF!</f>
        <v>#REF!</v>
      </c>
      <c r="K62" s="13" t="e">
        <f>#REF!+#REF!</f>
        <v>#REF!</v>
      </c>
      <c r="L62" s="13" t="e">
        <f>#REF!+#REF!</f>
        <v>#REF!</v>
      </c>
      <c r="M62" s="13" t="e">
        <f>#REF!+#REF!</f>
        <v>#REF!</v>
      </c>
      <c r="N62" s="13" t="e">
        <f>#REF!+#REF!</f>
        <v>#REF!</v>
      </c>
      <c r="O62" s="13" t="e">
        <f>#REF!+#REF!</f>
        <v>#REF!</v>
      </c>
      <c r="P62" s="13" t="e">
        <f>#REF!+#REF!</f>
        <v>#REF!</v>
      </c>
      <c r="Q62" s="13" t="e">
        <f>#REF!+#REF!</f>
        <v>#REF!</v>
      </c>
      <c r="R62" s="13" t="e">
        <f>#REF!+#REF!</f>
        <v>#REF!</v>
      </c>
      <c r="S62" s="13" t="e">
        <f>#REF!+#REF!</f>
        <v>#REF!</v>
      </c>
      <c r="T62" s="13" t="e">
        <f>#REF!+#REF!</f>
        <v>#REF!</v>
      </c>
      <c r="U62" s="13" t="e">
        <f>SUM(I62:T62)</f>
        <v>#REF!</v>
      </c>
      <c r="V62" s="17"/>
      <c r="W62" s="17"/>
      <c r="X62" s="102"/>
    </row>
    <row r="63" spans="1:24" s="38" customFormat="1" ht="15.75">
      <c r="A63" s="36" t="s">
        <v>17</v>
      </c>
      <c r="B63" s="15" t="s">
        <v>235</v>
      </c>
      <c r="C63" s="19" t="s">
        <v>126</v>
      </c>
      <c r="D63" s="19"/>
      <c r="E63" s="19"/>
      <c r="F63" s="13"/>
      <c r="G63" s="13">
        <v>329.01</v>
      </c>
      <c r="H63" s="13">
        <v>1438.08</v>
      </c>
      <c r="I63" s="15">
        <v>329.01</v>
      </c>
      <c r="J63" s="15" t="e">
        <f>#REF!*1.12+#REF!*1.12</f>
        <v>#REF!</v>
      </c>
      <c r="K63" s="15" t="e">
        <f>#REF!*1.12+#REF!*1.12</f>
        <v>#REF!</v>
      </c>
      <c r="L63" s="15" t="e">
        <f>#REF!*1.12+#REF!*1.12</f>
        <v>#REF!</v>
      </c>
      <c r="M63" s="15" t="e">
        <f>#REF!*1.12+#REF!*1.12</f>
        <v>#REF!</v>
      </c>
      <c r="N63" s="15" t="e">
        <f>#REF!*1.12+#REF!*1.12</f>
        <v>#REF!</v>
      </c>
      <c r="O63" s="15" t="e">
        <f>#REF!*1.12+#REF!*1.12</f>
        <v>#REF!</v>
      </c>
      <c r="P63" s="15" t="e">
        <f>#REF!*1.12+#REF!*1.12</f>
        <v>#REF!</v>
      </c>
      <c r="Q63" s="15" t="e">
        <f>#REF!*1.12+#REF!*1.12</f>
        <v>#REF!</v>
      </c>
      <c r="R63" s="15" t="e">
        <f>#REF!*1.12+#REF!*1.12</f>
        <v>#REF!</v>
      </c>
      <c r="S63" s="15" t="e">
        <f>#REF!*1.12+#REF!*1.12</f>
        <v>#REF!</v>
      </c>
      <c r="T63" s="15" t="e">
        <f>#REF!*1.12+#REF!*1.12</f>
        <v>#REF!</v>
      </c>
      <c r="U63" s="13" t="e">
        <f t="shared" si="19"/>
        <v>#REF!</v>
      </c>
      <c r="V63" s="37"/>
      <c r="W63" s="15">
        <v>172.02</v>
      </c>
      <c r="X63" s="101"/>
    </row>
    <row r="64" spans="1:24" s="38" customFormat="1" ht="15.75">
      <c r="A64" s="36" t="s">
        <v>18</v>
      </c>
      <c r="B64" s="15" t="s">
        <v>236</v>
      </c>
      <c r="C64" s="19" t="s">
        <v>126</v>
      </c>
      <c r="D64" s="19"/>
      <c r="E64" s="19"/>
      <c r="F64" s="15">
        <f aca="true" t="shared" si="20" ref="F64:L64">F65+F68+F69+F70+F71+F66+F67</f>
        <v>0</v>
      </c>
      <c r="G64" s="15">
        <f t="shared" si="20"/>
        <v>2493.434</v>
      </c>
      <c r="H64" s="15">
        <v>19401.86</v>
      </c>
      <c r="I64" s="15">
        <f t="shared" si="20"/>
        <v>230.96</v>
      </c>
      <c r="J64" s="15">
        <f t="shared" si="20"/>
        <v>4602.034000000001</v>
      </c>
      <c r="K64" s="15">
        <f t="shared" si="20"/>
        <v>7347.47</v>
      </c>
      <c r="L64" s="15">
        <f t="shared" si="20"/>
        <v>5594.610000000001</v>
      </c>
      <c r="M64" s="15">
        <f aca="true" t="shared" si="21" ref="M64:T64">M65+M68+M69+M70+M71+M66+M67</f>
        <v>50.96</v>
      </c>
      <c r="N64" s="15">
        <f t="shared" si="21"/>
        <v>50.96</v>
      </c>
      <c r="O64" s="15">
        <f t="shared" si="21"/>
        <v>1817.23</v>
      </c>
      <c r="P64" s="15">
        <f t="shared" si="21"/>
        <v>1817.23</v>
      </c>
      <c r="Q64" s="15">
        <f t="shared" si="21"/>
        <v>50.96</v>
      </c>
      <c r="R64" s="15">
        <f t="shared" si="21"/>
        <v>50.96</v>
      </c>
      <c r="S64" s="15">
        <f t="shared" si="21"/>
        <v>50.96</v>
      </c>
      <c r="T64" s="15">
        <f t="shared" si="21"/>
        <v>50.96</v>
      </c>
      <c r="U64" s="13">
        <f t="shared" si="19"/>
        <v>21715.293999999994</v>
      </c>
      <c r="V64" s="37"/>
      <c r="W64" s="15"/>
      <c r="X64" s="101"/>
    </row>
    <row r="65" spans="1:24" s="85" customFormat="1" ht="15.75">
      <c r="A65" s="108"/>
      <c r="B65" s="84" t="s">
        <v>209</v>
      </c>
      <c r="C65" s="109" t="s">
        <v>126</v>
      </c>
      <c r="D65" s="109"/>
      <c r="E65" s="109"/>
      <c r="F65" s="110"/>
      <c r="G65" s="84"/>
      <c r="H65" s="84">
        <v>2894.04</v>
      </c>
      <c r="I65" s="84"/>
      <c r="J65" s="84"/>
      <c r="K65" s="84">
        <v>1447.02</v>
      </c>
      <c r="L65" s="84">
        <v>1447.02</v>
      </c>
      <c r="M65" s="84"/>
      <c r="N65" s="84"/>
      <c r="O65" s="84"/>
      <c r="P65" s="84"/>
      <c r="Q65" s="84"/>
      <c r="R65" s="84"/>
      <c r="S65" s="84"/>
      <c r="T65" s="84"/>
      <c r="U65" s="13">
        <f t="shared" si="19"/>
        <v>2894.04</v>
      </c>
      <c r="V65" s="84"/>
      <c r="W65" s="84"/>
      <c r="X65" s="62"/>
    </row>
    <row r="66" spans="1:24" s="85" customFormat="1" ht="15.75">
      <c r="A66" s="108"/>
      <c r="B66" s="84" t="s">
        <v>207</v>
      </c>
      <c r="C66" s="109" t="s">
        <v>126</v>
      </c>
      <c r="D66" s="109"/>
      <c r="E66" s="109"/>
      <c r="F66" s="110"/>
      <c r="G66" s="84"/>
      <c r="H66" s="84">
        <v>1099.5</v>
      </c>
      <c r="I66" s="84"/>
      <c r="J66" s="84"/>
      <c r="K66" s="84">
        <v>549.75</v>
      </c>
      <c r="L66" s="84">
        <v>549.75</v>
      </c>
      <c r="M66" s="84"/>
      <c r="N66" s="84"/>
      <c r="O66" s="84"/>
      <c r="P66" s="84"/>
      <c r="Q66" s="84"/>
      <c r="R66" s="84"/>
      <c r="S66" s="84"/>
      <c r="T66" s="84"/>
      <c r="U66" s="13">
        <f t="shared" si="19"/>
        <v>1099.5</v>
      </c>
      <c r="V66" s="84"/>
      <c r="W66" s="84"/>
      <c r="X66" s="62"/>
    </row>
    <row r="67" spans="1:24" s="85" customFormat="1" ht="15.75">
      <c r="A67" s="108"/>
      <c r="B67" s="84" t="s">
        <v>54</v>
      </c>
      <c r="C67" s="109" t="s">
        <v>126</v>
      </c>
      <c r="D67" s="109"/>
      <c r="E67" s="109"/>
      <c r="F67" s="110"/>
      <c r="G67" s="84"/>
      <c r="H67" s="84">
        <v>2313.06</v>
      </c>
      <c r="I67" s="84"/>
      <c r="J67" s="84">
        <v>1183.2</v>
      </c>
      <c r="K67" s="84">
        <v>1129.86</v>
      </c>
      <c r="L67" s="84"/>
      <c r="M67" s="84"/>
      <c r="N67" s="84"/>
      <c r="O67" s="84"/>
      <c r="P67" s="84"/>
      <c r="Q67" s="84"/>
      <c r="R67" s="84"/>
      <c r="S67" s="84"/>
      <c r="T67" s="84"/>
      <c r="U67" s="13">
        <f t="shared" si="19"/>
        <v>2313.06</v>
      </c>
      <c r="V67" s="84"/>
      <c r="W67" s="84"/>
      <c r="X67" s="62"/>
    </row>
    <row r="68" spans="1:24" s="85" customFormat="1" ht="15.75">
      <c r="A68" s="108"/>
      <c r="B68" s="84" t="s">
        <v>260</v>
      </c>
      <c r="C68" s="109" t="s">
        <v>126</v>
      </c>
      <c r="D68" s="109"/>
      <c r="E68" s="109"/>
      <c r="F68" s="110"/>
      <c r="G68" s="84"/>
      <c r="H68" s="84">
        <v>611.52</v>
      </c>
      <c r="I68" s="84">
        <v>50.96</v>
      </c>
      <c r="J68" s="84">
        <v>50.96</v>
      </c>
      <c r="K68" s="84">
        <v>50.96</v>
      </c>
      <c r="L68" s="84">
        <v>50.96</v>
      </c>
      <c r="M68" s="84">
        <v>50.96</v>
      </c>
      <c r="N68" s="84">
        <v>50.96</v>
      </c>
      <c r="O68" s="84">
        <v>50.96</v>
      </c>
      <c r="P68" s="84">
        <v>50.96</v>
      </c>
      <c r="Q68" s="84">
        <v>50.96</v>
      </c>
      <c r="R68" s="84">
        <v>50.96</v>
      </c>
      <c r="S68" s="84">
        <v>50.96</v>
      </c>
      <c r="T68" s="84">
        <v>50.96</v>
      </c>
      <c r="U68" s="13">
        <f t="shared" si="19"/>
        <v>611.52</v>
      </c>
      <c r="V68" s="84"/>
      <c r="W68" s="84"/>
      <c r="X68" s="62"/>
    </row>
    <row r="69" spans="1:24" s="85" customFormat="1" ht="15.75">
      <c r="A69" s="108"/>
      <c r="B69" s="84" t="s">
        <v>210</v>
      </c>
      <c r="C69" s="109" t="s">
        <v>126</v>
      </c>
      <c r="D69" s="109"/>
      <c r="E69" s="109"/>
      <c r="F69" s="110"/>
      <c r="G69" s="84">
        <v>2313.434</v>
      </c>
      <c r="H69" s="84">
        <v>10626.3</v>
      </c>
      <c r="I69" s="84"/>
      <c r="J69" s="84">
        <f>G69</f>
        <v>2313.434</v>
      </c>
      <c r="K69" s="84">
        <v>3546.88</v>
      </c>
      <c r="L69" s="84">
        <v>3546.88</v>
      </c>
      <c r="M69" s="84"/>
      <c r="N69" s="84"/>
      <c r="O69" s="84">
        <v>1766.27</v>
      </c>
      <c r="P69" s="84">
        <v>1766.27</v>
      </c>
      <c r="Q69" s="84"/>
      <c r="R69" s="84"/>
      <c r="S69" s="84"/>
      <c r="T69" s="84"/>
      <c r="U69" s="13">
        <f t="shared" si="19"/>
        <v>12939.734</v>
      </c>
      <c r="V69" s="84"/>
      <c r="W69" s="84"/>
      <c r="X69" s="62"/>
    </row>
    <row r="70" spans="1:24" s="85" customFormat="1" ht="15.75">
      <c r="A70" s="108"/>
      <c r="B70" s="84" t="s">
        <v>53</v>
      </c>
      <c r="C70" s="109" t="s">
        <v>126</v>
      </c>
      <c r="D70" s="109"/>
      <c r="E70" s="109"/>
      <c r="F70" s="110"/>
      <c r="G70" s="84"/>
      <c r="H70" s="84">
        <v>623</v>
      </c>
      <c r="I70" s="84"/>
      <c r="J70" s="84"/>
      <c r="K70" s="84">
        <v>623</v>
      </c>
      <c r="L70" s="84"/>
      <c r="M70" s="84"/>
      <c r="N70" s="84"/>
      <c r="O70" s="84"/>
      <c r="P70" s="84"/>
      <c r="Q70" s="84"/>
      <c r="R70" s="84"/>
      <c r="S70" s="84"/>
      <c r="T70" s="84"/>
      <c r="U70" s="13">
        <f t="shared" si="19"/>
        <v>623</v>
      </c>
      <c r="V70" s="84"/>
      <c r="W70" s="84"/>
      <c r="X70" s="62"/>
    </row>
    <row r="71" spans="1:24" s="85" customFormat="1" ht="15.75">
      <c r="A71" s="108"/>
      <c r="B71" s="84" t="s">
        <v>208</v>
      </c>
      <c r="C71" s="109" t="s">
        <v>126</v>
      </c>
      <c r="D71" s="109"/>
      <c r="E71" s="109"/>
      <c r="F71" s="110"/>
      <c r="G71" s="84">
        <v>180</v>
      </c>
      <c r="H71" s="84">
        <v>1234.44</v>
      </c>
      <c r="I71" s="84">
        <v>180</v>
      </c>
      <c r="J71" s="84">
        <v>1054.44</v>
      </c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13">
        <f t="shared" si="19"/>
        <v>1234.44</v>
      </c>
      <c r="V71" s="84"/>
      <c r="W71" s="84"/>
      <c r="X71" s="62"/>
    </row>
    <row r="72" spans="1:24" s="38" customFormat="1" ht="15.75">
      <c r="A72" s="36" t="s">
        <v>19</v>
      </c>
      <c r="B72" s="15" t="s">
        <v>237</v>
      </c>
      <c r="C72" s="19" t="s">
        <v>126</v>
      </c>
      <c r="D72" s="19"/>
      <c r="E72" s="19"/>
      <c r="F72" s="13"/>
      <c r="G72" s="15"/>
      <c r="H72" s="15">
        <v>2673.574</v>
      </c>
      <c r="I72" s="15" t="e">
        <f>#REF!*1.12</f>
        <v>#REF!</v>
      </c>
      <c r="J72" s="15" t="e">
        <f>#REF!*1.12</f>
        <v>#REF!</v>
      </c>
      <c r="K72" s="15" t="e">
        <f>#REF!*1.12</f>
        <v>#REF!</v>
      </c>
      <c r="L72" s="15" t="e">
        <f>#REF!*1.12</f>
        <v>#REF!</v>
      </c>
      <c r="M72" s="15" t="e">
        <f>#REF!*1.12</f>
        <v>#REF!</v>
      </c>
      <c r="N72" s="15" t="e">
        <f>#REF!*1.12</f>
        <v>#REF!</v>
      </c>
      <c r="O72" s="15" t="e">
        <f>#REF!*1.12</f>
        <v>#REF!</v>
      </c>
      <c r="P72" s="15" t="e">
        <f>#REF!*1.12</f>
        <v>#REF!</v>
      </c>
      <c r="Q72" s="15" t="e">
        <f>#REF!*1.12</f>
        <v>#REF!</v>
      </c>
      <c r="R72" s="15" t="e">
        <f>#REF!*1.12</f>
        <v>#REF!</v>
      </c>
      <c r="S72" s="15" t="e">
        <f>#REF!*1.12</f>
        <v>#REF!</v>
      </c>
      <c r="T72" s="15" t="e">
        <f>#REF!*1.12</f>
        <v>#REF!</v>
      </c>
      <c r="U72" s="13" t="e">
        <f>SUM(I72:T72)</f>
        <v>#REF!</v>
      </c>
      <c r="V72" s="37"/>
      <c r="W72" s="15"/>
      <c r="X72" s="101"/>
    </row>
    <row r="73" spans="1:24" s="38" customFormat="1" ht="15.75">
      <c r="A73" s="36" t="s">
        <v>20</v>
      </c>
      <c r="B73" s="15" t="s">
        <v>238</v>
      </c>
      <c r="C73" s="19" t="s">
        <v>126</v>
      </c>
      <c r="D73" s="19"/>
      <c r="E73" s="19"/>
      <c r="F73" s="13">
        <v>200</v>
      </c>
      <c r="G73" s="15"/>
      <c r="H73" s="15">
        <v>7295.367</v>
      </c>
      <c r="I73" s="15"/>
      <c r="J73" s="15">
        <v>2600</v>
      </c>
      <c r="K73" s="15"/>
      <c r="L73" s="15">
        <v>2600</v>
      </c>
      <c r="M73" s="15"/>
      <c r="N73" s="15">
        <v>2600</v>
      </c>
      <c r="O73" s="15"/>
      <c r="P73" s="15"/>
      <c r="Q73" s="15"/>
      <c r="R73" s="15"/>
      <c r="S73" s="15"/>
      <c r="T73" s="15"/>
      <c r="U73" s="13">
        <f>SUM(I73:T73)</f>
        <v>7800</v>
      </c>
      <c r="V73" s="15">
        <v>200</v>
      </c>
      <c r="W73" s="15"/>
      <c r="X73" s="101"/>
    </row>
    <row r="74" spans="1:25" ht="15.75">
      <c r="A74" s="36" t="s">
        <v>21</v>
      </c>
      <c r="B74" s="15" t="s">
        <v>239</v>
      </c>
      <c r="C74" s="19" t="s">
        <v>126</v>
      </c>
      <c r="D74" s="6"/>
      <c r="E74" s="6"/>
      <c r="F74" s="15">
        <v>300</v>
      </c>
      <c r="G74" s="15">
        <v>34.978</v>
      </c>
      <c r="H74" s="14">
        <v>3256.065</v>
      </c>
      <c r="I74" s="15" t="e">
        <f>#REF!</f>
        <v>#REF!</v>
      </c>
      <c r="J74" s="15" t="e">
        <f>#REF!</f>
        <v>#REF!</v>
      </c>
      <c r="K74" s="15" t="e">
        <f>#REF!</f>
        <v>#REF!</v>
      </c>
      <c r="L74" s="15" t="e">
        <f>#REF!</f>
        <v>#REF!</v>
      </c>
      <c r="M74" s="15" t="e">
        <f>#REF!</f>
        <v>#REF!</v>
      </c>
      <c r="N74" s="15" t="e">
        <f>#REF!</f>
        <v>#REF!</v>
      </c>
      <c r="O74" s="15" t="e">
        <f>#REF!</f>
        <v>#REF!</v>
      </c>
      <c r="P74" s="15" t="e">
        <f>#REF!</f>
        <v>#REF!</v>
      </c>
      <c r="Q74" s="15" t="e">
        <f>#REF!</f>
        <v>#REF!</v>
      </c>
      <c r="R74" s="15" t="e">
        <f>#REF!</f>
        <v>#REF!</v>
      </c>
      <c r="S74" s="15" t="e">
        <f>#REF!</f>
        <v>#REF!</v>
      </c>
      <c r="T74" s="15" t="e">
        <f>#REF!</f>
        <v>#REF!</v>
      </c>
      <c r="U74" s="13" t="e">
        <f>SUM(I74:T74)</f>
        <v>#REF!</v>
      </c>
      <c r="V74" s="15"/>
      <c r="W74" s="14"/>
      <c r="X74" s="101"/>
      <c r="Y74" s="5"/>
    </row>
    <row r="75" spans="1:23" ht="15.75">
      <c r="A75" s="36" t="s">
        <v>22</v>
      </c>
      <c r="B75" s="15" t="s">
        <v>240</v>
      </c>
      <c r="C75" s="19" t="s">
        <v>126</v>
      </c>
      <c r="D75" s="19"/>
      <c r="E75" s="19"/>
      <c r="F75" s="12"/>
      <c r="G75" s="13">
        <v>12.37</v>
      </c>
      <c r="H75" s="13">
        <v>489.22607999999997</v>
      </c>
      <c r="I75" s="44">
        <f>G75</f>
        <v>12.37</v>
      </c>
      <c r="J75" s="44" t="e">
        <f>#REF!*1.12</f>
        <v>#REF!</v>
      </c>
      <c r="K75" s="44" t="e">
        <f>#REF!*1.12</f>
        <v>#REF!</v>
      </c>
      <c r="L75" s="44" t="e">
        <f>#REF!*1.12</f>
        <v>#REF!</v>
      </c>
      <c r="M75" s="44" t="e">
        <f>#REF!*1.12</f>
        <v>#REF!</v>
      </c>
      <c r="N75" s="44" t="e">
        <f>#REF!*1.12</f>
        <v>#REF!</v>
      </c>
      <c r="O75" s="44" t="e">
        <f>#REF!*1.12</f>
        <v>#REF!</v>
      </c>
      <c r="P75" s="44" t="e">
        <f>#REF!*1.12</f>
        <v>#REF!</v>
      </c>
      <c r="Q75" s="44" t="e">
        <f>#REF!*1.12</f>
        <v>#REF!</v>
      </c>
      <c r="R75" s="44" t="e">
        <f>#REF!*1.12</f>
        <v>#REF!</v>
      </c>
      <c r="S75" s="44" t="e">
        <f>#REF!*1.12</f>
        <v>#REF!</v>
      </c>
      <c r="T75" s="44" t="e">
        <f>#REF!*1.12</f>
        <v>#REF!</v>
      </c>
      <c r="U75" s="13" t="e">
        <f>SUM(I75:T75)</f>
        <v>#REF!</v>
      </c>
      <c r="V75" s="15"/>
      <c r="W75" s="15">
        <v>63.75</v>
      </c>
    </row>
    <row r="76" spans="1:23" ht="15.75">
      <c r="A76" s="36" t="s">
        <v>23</v>
      </c>
      <c r="B76" s="57" t="s">
        <v>241</v>
      </c>
      <c r="C76" s="19" t="s">
        <v>126</v>
      </c>
      <c r="D76" s="19"/>
      <c r="E76" s="19"/>
      <c r="F76" s="13"/>
      <c r="G76" s="13"/>
      <c r="H76" s="13">
        <v>382.38</v>
      </c>
      <c r="I76" s="44" t="e">
        <f>#REF!*1.12+#REF!*1.12</f>
        <v>#REF!</v>
      </c>
      <c r="J76" s="44" t="e">
        <f>#REF!*1.12+#REF!*1.12</f>
        <v>#REF!</v>
      </c>
      <c r="K76" s="44" t="e">
        <f>#REF!*1.12+#REF!*1.12</f>
        <v>#REF!</v>
      </c>
      <c r="L76" s="44" t="e">
        <f>#REF!*1.12+#REF!*1.12</f>
        <v>#REF!</v>
      </c>
      <c r="M76" s="44" t="e">
        <f>#REF!*1.12+#REF!*1.12</f>
        <v>#REF!</v>
      </c>
      <c r="N76" s="44" t="e">
        <f>#REF!*1.12+#REF!*1.12</f>
        <v>#REF!</v>
      </c>
      <c r="O76" s="44" t="e">
        <f>#REF!*1.12+#REF!*1.12</f>
        <v>#REF!</v>
      </c>
      <c r="P76" s="44" t="e">
        <f>#REF!*1.12+#REF!*1.12</f>
        <v>#REF!</v>
      </c>
      <c r="Q76" s="44" t="e">
        <f>#REF!*1.12+#REF!*1.12</f>
        <v>#REF!</v>
      </c>
      <c r="R76" s="44" t="e">
        <f>#REF!*1.12+#REF!*1.12</f>
        <v>#REF!</v>
      </c>
      <c r="S76" s="44" t="e">
        <f>#REF!*1.12+#REF!*1.12</f>
        <v>#REF!</v>
      </c>
      <c r="T76" s="44" t="e">
        <f>#REF!*1.12+#REF!*1.12</f>
        <v>#REF!</v>
      </c>
      <c r="U76" s="13" t="e">
        <f>SUM(I76:T76)</f>
        <v>#REF!</v>
      </c>
      <c r="V76" s="15"/>
      <c r="W76" s="15"/>
    </row>
    <row r="77" spans="1:23" ht="15.75">
      <c r="A77" s="36" t="s">
        <v>24</v>
      </c>
      <c r="B77" s="1" t="s">
        <v>211</v>
      </c>
      <c r="C77" s="19" t="s">
        <v>126</v>
      </c>
      <c r="D77" s="19"/>
      <c r="E77" s="19"/>
      <c r="F77" s="12"/>
      <c r="G77" s="12"/>
      <c r="H77" s="12">
        <v>298.9952</v>
      </c>
      <c r="I77" s="44" t="e">
        <f>#REF!*1.12</f>
        <v>#REF!</v>
      </c>
      <c r="J77" s="44" t="e">
        <f>#REF!*1.12</f>
        <v>#REF!</v>
      </c>
      <c r="K77" s="44" t="e">
        <f>#REF!*1.12</f>
        <v>#REF!</v>
      </c>
      <c r="L77" s="44" t="e">
        <f>#REF!*1.12</f>
        <v>#REF!</v>
      </c>
      <c r="M77" s="44" t="e">
        <f>#REF!*1.12</f>
        <v>#REF!</v>
      </c>
      <c r="N77" s="44" t="e">
        <f>#REF!*1.12</f>
        <v>#REF!</v>
      </c>
      <c r="O77" s="44" t="e">
        <f>#REF!*1.12</f>
        <v>#REF!</v>
      </c>
      <c r="P77" s="44" t="e">
        <f>#REF!*1.12</f>
        <v>#REF!</v>
      </c>
      <c r="Q77" s="44" t="e">
        <f>#REF!*1.12</f>
        <v>#REF!</v>
      </c>
      <c r="R77" s="44" t="e">
        <f>#REF!*1.12</f>
        <v>#REF!</v>
      </c>
      <c r="S77" s="44" t="e">
        <f>#REF!*1.12</f>
        <v>#REF!</v>
      </c>
      <c r="T77" s="44" t="e">
        <f>#REF!*1.12</f>
        <v>#REF!</v>
      </c>
      <c r="U77" s="13" t="e">
        <f aca="true" t="shared" si="22" ref="U77:U82">SUM(I77:T77)</f>
        <v>#REF!</v>
      </c>
      <c r="V77" s="15"/>
      <c r="W77" s="15"/>
    </row>
    <row r="78" spans="1:23" ht="15.75">
      <c r="A78" s="36" t="s">
        <v>25</v>
      </c>
      <c r="B78" s="1" t="s">
        <v>212</v>
      </c>
      <c r="C78" s="19" t="s">
        <v>126</v>
      </c>
      <c r="D78" s="19"/>
      <c r="E78" s="19"/>
      <c r="F78" s="12"/>
      <c r="G78" s="12"/>
      <c r="H78" s="12">
        <v>268.8552</v>
      </c>
      <c r="I78" s="44">
        <v>20</v>
      </c>
      <c r="J78" s="44" t="e">
        <f>#REF!</f>
        <v>#REF!</v>
      </c>
      <c r="K78" s="44" t="e">
        <f>#REF!</f>
        <v>#REF!</v>
      </c>
      <c r="L78" s="44" t="e">
        <f>#REF!</f>
        <v>#REF!</v>
      </c>
      <c r="M78" s="44" t="e">
        <f>#REF!</f>
        <v>#REF!</v>
      </c>
      <c r="N78" s="44" t="e">
        <f>#REF!</f>
        <v>#REF!</v>
      </c>
      <c r="O78" s="44" t="e">
        <f>#REF!</f>
        <v>#REF!</v>
      </c>
      <c r="P78" s="44">
        <f>21.458+19.206*1.12</f>
        <v>42.968720000000005</v>
      </c>
      <c r="Q78" s="44" t="e">
        <f>#REF!</f>
        <v>#REF!</v>
      </c>
      <c r="R78" s="44" t="e">
        <f>#REF!</f>
        <v>#REF!</v>
      </c>
      <c r="S78" s="44" t="e">
        <f>#REF!</f>
        <v>#REF!</v>
      </c>
      <c r="T78" s="44" t="e">
        <f>#REF!</f>
        <v>#REF!</v>
      </c>
      <c r="U78" s="13" t="e">
        <f t="shared" si="22"/>
        <v>#REF!</v>
      </c>
      <c r="V78" s="15"/>
      <c r="W78" s="15"/>
    </row>
    <row r="79" spans="1:23" ht="15.75" hidden="1">
      <c r="A79" s="36"/>
      <c r="B79" s="1"/>
      <c r="C79" s="19"/>
      <c r="D79" s="19"/>
      <c r="E79" s="19"/>
      <c r="F79" s="12"/>
      <c r="G79" s="17"/>
      <c r="H79" s="17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13"/>
      <c r="V79" s="15"/>
      <c r="W79" s="15"/>
    </row>
    <row r="80" spans="1:24" ht="15.75">
      <c r="A80" s="36" t="s">
        <v>26</v>
      </c>
      <c r="B80" s="1" t="s">
        <v>213</v>
      </c>
      <c r="C80" s="19" t="s">
        <v>126</v>
      </c>
      <c r="D80" s="19"/>
      <c r="E80" s="19"/>
      <c r="F80" s="8"/>
      <c r="G80" s="8"/>
      <c r="H80" s="8">
        <v>159.77800000000002</v>
      </c>
      <c r="I80" s="15" t="e">
        <f>#REF!</f>
        <v>#REF!</v>
      </c>
      <c r="J80" s="15" t="e">
        <f>#REF!</f>
        <v>#REF!</v>
      </c>
      <c r="K80" s="15" t="e">
        <f>#REF!</f>
        <v>#REF!</v>
      </c>
      <c r="L80" s="15" t="e">
        <f>#REF!</f>
        <v>#REF!</v>
      </c>
      <c r="M80" s="15" t="e">
        <f>#REF!</f>
        <v>#REF!</v>
      </c>
      <c r="N80" s="15" t="e">
        <f>#REF!</f>
        <v>#REF!</v>
      </c>
      <c r="O80" s="15" t="e">
        <f>#REF!</f>
        <v>#REF!</v>
      </c>
      <c r="P80" s="15" t="e">
        <f>#REF!</f>
        <v>#REF!</v>
      </c>
      <c r="Q80" s="15" t="e">
        <f>#REF!</f>
        <v>#REF!</v>
      </c>
      <c r="R80" s="15" t="e">
        <f>#REF!</f>
        <v>#REF!</v>
      </c>
      <c r="S80" s="15" t="e">
        <f>#REF!</f>
        <v>#REF!</v>
      </c>
      <c r="T80" s="15" t="e">
        <f>#REF!</f>
        <v>#REF!</v>
      </c>
      <c r="U80" s="13" t="e">
        <f t="shared" si="22"/>
        <v>#REF!</v>
      </c>
      <c r="V80" s="15"/>
      <c r="W80" s="15"/>
      <c r="X80" s="5"/>
    </row>
    <row r="81" spans="1:23" ht="15.75" hidden="1">
      <c r="A81" s="36" t="s">
        <v>28</v>
      </c>
      <c r="B81" s="1"/>
      <c r="C81" s="19" t="s">
        <v>126</v>
      </c>
      <c r="D81" s="19"/>
      <c r="E81" s="19"/>
      <c r="F81" s="8"/>
      <c r="G81" s="13"/>
      <c r="H81" s="13">
        <v>0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3">
        <f t="shared" si="22"/>
        <v>0</v>
      </c>
      <c r="V81" s="15"/>
      <c r="W81" s="15"/>
    </row>
    <row r="82" spans="1:24" ht="31.5">
      <c r="A82" s="36" t="s">
        <v>27</v>
      </c>
      <c r="B82" s="1" t="s">
        <v>214</v>
      </c>
      <c r="C82" s="19" t="s">
        <v>126</v>
      </c>
      <c r="D82" s="19"/>
      <c r="E82" s="19"/>
      <c r="F82" s="13"/>
      <c r="G82" s="13"/>
      <c r="H82" s="13">
        <v>104.55200000000002</v>
      </c>
      <c r="I82" s="15" t="e">
        <f>#REF!*1.12</f>
        <v>#REF!</v>
      </c>
      <c r="J82" s="15" t="e">
        <f>#REF!*1.12</f>
        <v>#REF!</v>
      </c>
      <c r="K82" s="15" t="e">
        <f>#REF!*1.12</f>
        <v>#REF!</v>
      </c>
      <c r="L82" s="15" t="e">
        <f>#REF!*1.12</f>
        <v>#REF!</v>
      </c>
      <c r="M82" s="15" t="e">
        <f>#REF!*1.12</f>
        <v>#REF!</v>
      </c>
      <c r="N82" s="15" t="e">
        <f>#REF!*1.12</f>
        <v>#REF!</v>
      </c>
      <c r="O82" s="15" t="e">
        <f>#REF!*1.12</f>
        <v>#REF!</v>
      </c>
      <c r="P82" s="15" t="e">
        <f>#REF!*1.12</f>
        <v>#REF!</v>
      </c>
      <c r="Q82" s="15" t="e">
        <f>#REF!*1.12</f>
        <v>#REF!</v>
      </c>
      <c r="R82" s="15" t="e">
        <f>#REF!*1.12</f>
        <v>#REF!</v>
      </c>
      <c r="S82" s="15" t="e">
        <f>#REF!*1.12</f>
        <v>#REF!</v>
      </c>
      <c r="T82" s="15" t="e">
        <f>#REF!*1.12</f>
        <v>#REF!</v>
      </c>
      <c r="U82" s="13" t="e">
        <f t="shared" si="22"/>
        <v>#REF!</v>
      </c>
      <c r="V82" s="15"/>
      <c r="W82" s="15"/>
      <c r="X82" s="5"/>
    </row>
    <row r="83" spans="1:24" ht="15.75" hidden="1">
      <c r="A83" s="36"/>
      <c r="B83" s="1"/>
      <c r="C83" s="19"/>
      <c r="D83" s="19"/>
      <c r="E83" s="19"/>
      <c r="F83" s="13"/>
      <c r="G83" s="13"/>
      <c r="H83" s="13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3"/>
      <c r="V83" s="15"/>
      <c r="W83" s="15"/>
      <c r="X83" s="5"/>
    </row>
    <row r="84" spans="1:23" ht="15.75">
      <c r="A84" s="36" t="s">
        <v>28</v>
      </c>
      <c r="B84" s="1" t="s">
        <v>179</v>
      </c>
      <c r="C84" s="19" t="s">
        <v>126</v>
      </c>
      <c r="D84" s="19"/>
      <c r="E84" s="19"/>
      <c r="F84" s="8"/>
      <c r="G84" s="8"/>
      <c r="H84" s="8">
        <v>223.07608000000005</v>
      </c>
      <c r="I84" s="15" t="e">
        <f>#REF!*1.12</f>
        <v>#REF!</v>
      </c>
      <c r="J84" s="15" t="e">
        <f>#REF!*1.12</f>
        <v>#REF!</v>
      </c>
      <c r="K84" s="15" t="e">
        <f>#REF!*1.12</f>
        <v>#REF!</v>
      </c>
      <c r="L84" s="15" t="e">
        <f>#REF!*1.12</f>
        <v>#REF!</v>
      </c>
      <c r="M84" s="15" t="e">
        <f>#REF!*1.12</f>
        <v>#REF!</v>
      </c>
      <c r="N84" s="15" t="e">
        <f>#REF!*1.12</f>
        <v>#REF!</v>
      </c>
      <c r="O84" s="15" t="e">
        <f>#REF!*1.12</f>
        <v>#REF!</v>
      </c>
      <c r="P84" s="15" t="e">
        <f>#REF!*1.12</f>
        <v>#REF!</v>
      </c>
      <c r="Q84" s="15" t="e">
        <f>#REF!*1.12</f>
        <v>#REF!</v>
      </c>
      <c r="R84" s="15" t="e">
        <f>#REF!*1.12</f>
        <v>#REF!</v>
      </c>
      <c r="S84" s="15" t="e">
        <f>#REF!*1.12</f>
        <v>#REF!</v>
      </c>
      <c r="T84" s="15" t="e">
        <f>#REF!*1.12</f>
        <v>#REF!</v>
      </c>
      <c r="U84" s="13" t="e">
        <f aca="true" t="shared" si="23" ref="U84:U89">SUM(I84:T84)</f>
        <v>#REF!</v>
      </c>
      <c r="V84" s="15"/>
      <c r="W84" s="15"/>
    </row>
    <row r="85" spans="1:24" ht="15.75">
      <c r="A85" s="36" t="s">
        <v>29</v>
      </c>
      <c r="B85" s="1" t="s">
        <v>275</v>
      </c>
      <c r="C85" s="19" t="s">
        <v>126</v>
      </c>
      <c r="D85" s="19"/>
      <c r="E85" s="19"/>
      <c r="F85" s="8"/>
      <c r="G85" s="13">
        <v>36</v>
      </c>
      <c r="H85" s="13">
        <v>605.1840000000002</v>
      </c>
      <c r="I85" s="15">
        <f>G85</f>
        <v>36</v>
      </c>
      <c r="J85" s="15" t="e">
        <f>#REF!*1.12</f>
        <v>#REF!</v>
      </c>
      <c r="K85" s="15" t="e">
        <f>#REF!*1.12</f>
        <v>#REF!</v>
      </c>
      <c r="L85" s="15" t="e">
        <f>#REF!*1.12</f>
        <v>#REF!</v>
      </c>
      <c r="M85" s="15" t="e">
        <f>#REF!*1.12</f>
        <v>#REF!</v>
      </c>
      <c r="N85" s="15" t="e">
        <f>#REF!*1.12</f>
        <v>#REF!</v>
      </c>
      <c r="O85" s="15" t="e">
        <f>#REF!*1.12</f>
        <v>#REF!</v>
      </c>
      <c r="P85" s="15" t="e">
        <f>#REF!*1.12</f>
        <v>#REF!</v>
      </c>
      <c r="Q85" s="15" t="e">
        <f>#REF!*1.12</f>
        <v>#REF!</v>
      </c>
      <c r="R85" s="15" t="e">
        <f>#REF!*1.12</f>
        <v>#REF!</v>
      </c>
      <c r="S85" s="15" t="e">
        <f>#REF!*1.12</f>
        <v>#REF!</v>
      </c>
      <c r="T85" s="15" t="e">
        <f>#REF!*1.12</f>
        <v>#REF!</v>
      </c>
      <c r="U85" s="13" t="e">
        <f t="shared" si="23"/>
        <v>#REF!</v>
      </c>
      <c r="V85" s="15"/>
      <c r="W85" s="15"/>
      <c r="X85" s="5"/>
    </row>
    <row r="86" spans="1:24" ht="15.75">
      <c r="A86" s="36" t="s">
        <v>30</v>
      </c>
      <c r="B86" s="1" t="s">
        <v>150</v>
      </c>
      <c r="C86" s="19" t="s">
        <v>126</v>
      </c>
      <c r="D86" s="19"/>
      <c r="E86" s="19"/>
      <c r="F86" s="8"/>
      <c r="G86" s="13"/>
      <c r="H86" s="13">
        <v>210.71</v>
      </c>
      <c r="I86" s="15" t="e">
        <f>#REF!</f>
        <v>#REF!</v>
      </c>
      <c r="J86" s="15" t="e">
        <f>#REF!</f>
        <v>#REF!</v>
      </c>
      <c r="K86" s="15" t="e">
        <f>#REF!</f>
        <v>#REF!</v>
      </c>
      <c r="L86" s="15" t="e">
        <f>#REF!</f>
        <v>#REF!</v>
      </c>
      <c r="M86" s="15" t="e">
        <f>#REF!</f>
        <v>#REF!</v>
      </c>
      <c r="N86" s="15" t="e">
        <f>#REF!</f>
        <v>#REF!</v>
      </c>
      <c r="O86" s="15" t="e">
        <f>#REF!</f>
        <v>#REF!</v>
      </c>
      <c r="P86" s="15" t="e">
        <f>#REF!</f>
        <v>#REF!</v>
      </c>
      <c r="Q86" s="15" t="e">
        <f>#REF!</f>
        <v>#REF!</v>
      </c>
      <c r="R86" s="15" t="e">
        <f>#REF!</f>
        <v>#REF!</v>
      </c>
      <c r="S86" s="15" t="e">
        <f>#REF!</f>
        <v>#REF!</v>
      </c>
      <c r="T86" s="15" t="e">
        <f>#REF!</f>
        <v>#REF!</v>
      </c>
      <c r="U86" s="13" t="e">
        <f t="shared" si="23"/>
        <v>#REF!</v>
      </c>
      <c r="V86" s="15"/>
      <c r="W86" s="15"/>
      <c r="X86" s="5"/>
    </row>
    <row r="87" spans="1:23" ht="15.75">
      <c r="A87" s="36" t="s">
        <v>31</v>
      </c>
      <c r="B87" s="1" t="s">
        <v>276</v>
      </c>
      <c r="C87" s="19" t="s">
        <v>126</v>
      </c>
      <c r="D87" s="19"/>
      <c r="E87" s="19"/>
      <c r="F87" s="8"/>
      <c r="G87" s="8"/>
      <c r="H87" s="8">
        <v>2800</v>
      </c>
      <c r="I87" s="15" t="e">
        <f>#REF!*1.12</f>
        <v>#REF!</v>
      </c>
      <c r="J87" s="15" t="e">
        <f>#REF!*1.12</f>
        <v>#REF!</v>
      </c>
      <c r="K87" s="15" t="e">
        <f>#REF!*1.12</f>
        <v>#REF!</v>
      </c>
      <c r="L87" s="15" t="e">
        <f>#REF!*1.12</f>
        <v>#REF!</v>
      </c>
      <c r="M87" s="15" t="e">
        <f>#REF!*1.12</f>
        <v>#REF!</v>
      </c>
      <c r="N87" s="15" t="e">
        <f>#REF!*1.12</f>
        <v>#REF!</v>
      </c>
      <c r="O87" s="15" t="e">
        <f>#REF!*1.12</f>
        <v>#REF!</v>
      </c>
      <c r="P87" s="15" t="e">
        <f>#REF!*1.12</f>
        <v>#REF!</v>
      </c>
      <c r="Q87" s="15" t="e">
        <f>#REF!*1.12</f>
        <v>#REF!</v>
      </c>
      <c r="R87" s="15" t="e">
        <f>#REF!*1.12</f>
        <v>#REF!</v>
      </c>
      <c r="S87" s="15" t="e">
        <f>#REF!*1.12</f>
        <v>#REF!</v>
      </c>
      <c r="T87" s="15" t="e">
        <f>#REF!*1.12</f>
        <v>#REF!</v>
      </c>
      <c r="U87" s="13" t="e">
        <f t="shared" si="23"/>
        <v>#REF!</v>
      </c>
      <c r="V87" s="15"/>
      <c r="W87" s="15"/>
    </row>
    <row r="88" spans="1:23" ht="15.75" hidden="1">
      <c r="A88" s="36"/>
      <c r="B88" s="1"/>
      <c r="C88" s="19"/>
      <c r="D88" s="19"/>
      <c r="E88" s="19"/>
      <c r="F88" s="8"/>
      <c r="G88" s="8"/>
      <c r="H88" s="8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3"/>
      <c r="V88" s="15"/>
      <c r="W88" s="15"/>
    </row>
    <row r="89" spans="1:23" ht="15.75">
      <c r="A89" s="36" t="s">
        <v>32</v>
      </c>
      <c r="B89" s="1" t="s">
        <v>215</v>
      </c>
      <c r="C89" s="19" t="s">
        <v>126</v>
      </c>
      <c r="D89" s="45"/>
      <c r="E89" s="19"/>
      <c r="F89" s="13"/>
      <c r="G89" s="13">
        <v>375</v>
      </c>
      <c r="H89" s="13">
        <v>737.8448000000001</v>
      </c>
      <c r="I89" s="13">
        <v>375</v>
      </c>
      <c r="J89" s="13" t="e">
        <f>#REF!*1.12</f>
        <v>#REF!</v>
      </c>
      <c r="K89" s="13" t="e">
        <f>#REF!*1.12</f>
        <v>#REF!</v>
      </c>
      <c r="L89" s="13" t="e">
        <f>#REF!*1.12</f>
        <v>#REF!</v>
      </c>
      <c r="M89" s="13" t="e">
        <f>#REF!*1.12</f>
        <v>#REF!</v>
      </c>
      <c r="N89" s="13" t="e">
        <f>#REF!*1.12</f>
        <v>#REF!</v>
      </c>
      <c r="O89" s="13" t="e">
        <f>#REF!*1.12</f>
        <v>#REF!</v>
      </c>
      <c r="P89" s="13" t="e">
        <f>#REF!*1.12</f>
        <v>#REF!</v>
      </c>
      <c r="Q89" s="13" t="e">
        <f>#REF!*1.12</f>
        <v>#REF!</v>
      </c>
      <c r="R89" s="13" t="e">
        <f>#REF!*1.12</f>
        <v>#REF!</v>
      </c>
      <c r="S89" s="13" t="e">
        <f>#REF!*1.12</f>
        <v>#REF!</v>
      </c>
      <c r="T89" s="13" t="e">
        <f>#REF!*1.12</f>
        <v>#REF!</v>
      </c>
      <c r="U89" s="13" t="e">
        <f t="shared" si="23"/>
        <v>#REF!</v>
      </c>
      <c r="V89" s="15"/>
      <c r="W89" s="15"/>
    </row>
    <row r="90" spans="1:23" ht="15.75">
      <c r="A90" s="36" t="s">
        <v>33</v>
      </c>
      <c r="B90" s="15" t="s">
        <v>219</v>
      </c>
      <c r="C90" s="19" t="s">
        <v>126</v>
      </c>
      <c r="D90" s="19"/>
      <c r="E90" s="19"/>
      <c r="F90" s="13"/>
      <c r="G90" s="13">
        <v>461.664</v>
      </c>
      <c r="H90" s="13">
        <v>5461.792</v>
      </c>
      <c r="I90" s="13">
        <f>G90</f>
        <v>461.664</v>
      </c>
      <c r="J90" s="13" t="e">
        <f>#REF!*1.12</f>
        <v>#REF!</v>
      </c>
      <c r="K90" s="13" t="e">
        <f>#REF!*1.12</f>
        <v>#REF!</v>
      </c>
      <c r="L90" s="13" t="e">
        <f>#REF!*1.12</f>
        <v>#REF!</v>
      </c>
      <c r="M90" s="13" t="e">
        <f>#REF!*1.12</f>
        <v>#REF!</v>
      </c>
      <c r="N90" s="13" t="e">
        <f>#REF!*1.12</f>
        <v>#REF!</v>
      </c>
      <c r="O90" s="13" t="e">
        <f>#REF!*1.12</f>
        <v>#REF!</v>
      </c>
      <c r="P90" s="13" t="e">
        <f>#REF!*1.12</f>
        <v>#REF!</v>
      </c>
      <c r="Q90" s="13" t="e">
        <f>#REF!*1.12</f>
        <v>#REF!</v>
      </c>
      <c r="R90" s="13" t="e">
        <f>#REF!*1.12</f>
        <v>#REF!</v>
      </c>
      <c r="S90" s="13" t="e">
        <f>#REF!*1.12</f>
        <v>#REF!</v>
      </c>
      <c r="T90" s="13" t="e">
        <f>#REF!*1.12</f>
        <v>#REF!</v>
      </c>
      <c r="U90" s="13" t="e">
        <f aca="true" t="shared" si="24" ref="U90:U109">SUM(I90:T90)</f>
        <v>#REF!</v>
      </c>
      <c r="V90" s="15"/>
      <c r="W90" s="15" t="e">
        <f>T90</f>
        <v>#REF!</v>
      </c>
    </row>
    <row r="91" spans="1:25" s="25" customFormat="1" ht="15.75">
      <c r="A91" s="36" t="s">
        <v>34</v>
      </c>
      <c r="B91" s="15" t="s">
        <v>220</v>
      </c>
      <c r="C91" s="19" t="s">
        <v>126</v>
      </c>
      <c r="D91" s="22"/>
      <c r="E91" s="22"/>
      <c r="F91" s="23"/>
      <c r="G91" s="13">
        <v>280</v>
      </c>
      <c r="H91" s="13">
        <v>4237.742999999999</v>
      </c>
      <c r="I91" s="13">
        <v>745.353</v>
      </c>
      <c r="J91" s="13" t="e">
        <f>#REF!*1.12</f>
        <v>#REF!</v>
      </c>
      <c r="K91" s="13" t="e">
        <f>#REF!*1.12</f>
        <v>#REF!</v>
      </c>
      <c r="L91" s="13" t="e">
        <f>#REF!*1.12</f>
        <v>#REF!</v>
      </c>
      <c r="M91" s="13" t="e">
        <f>#REF!*1.12</f>
        <v>#REF!</v>
      </c>
      <c r="N91" s="13" t="e">
        <f>#REF!*1.12</f>
        <v>#REF!</v>
      </c>
      <c r="O91" s="13" t="e">
        <f>#REF!*1.12</f>
        <v>#REF!</v>
      </c>
      <c r="P91" s="13" t="e">
        <f>#REF!*1.12</f>
        <v>#REF!</v>
      </c>
      <c r="Q91" s="13" t="e">
        <f>#REF!*1.12</f>
        <v>#REF!</v>
      </c>
      <c r="R91" s="13" t="e">
        <f>#REF!*1.12</f>
        <v>#REF!</v>
      </c>
      <c r="S91" s="13" t="e">
        <f>#REF!*1.12</f>
        <v>#REF!</v>
      </c>
      <c r="T91" s="13" t="e">
        <f>#REF!*1.12</f>
        <v>#REF!</v>
      </c>
      <c r="U91" s="13" t="e">
        <f t="shared" si="24"/>
        <v>#REF!</v>
      </c>
      <c r="V91" s="24"/>
      <c r="W91" s="15" t="e">
        <f>T91</f>
        <v>#REF!</v>
      </c>
      <c r="X91" s="5"/>
      <c r="Y91" s="71"/>
    </row>
    <row r="92" spans="1:25" s="25" customFormat="1" ht="15.75">
      <c r="A92" s="36" t="s">
        <v>35</v>
      </c>
      <c r="B92" s="15" t="s">
        <v>272</v>
      </c>
      <c r="C92" s="19"/>
      <c r="D92" s="22"/>
      <c r="E92" s="22"/>
      <c r="F92" s="23"/>
      <c r="G92" s="13"/>
      <c r="H92" s="13">
        <v>346.05312000000004</v>
      </c>
      <c r="I92" s="13" t="e">
        <f>#REF!*1.12</f>
        <v>#REF!</v>
      </c>
      <c r="J92" s="13" t="e">
        <f>#REF!*1.12</f>
        <v>#REF!</v>
      </c>
      <c r="K92" s="13" t="e">
        <f>#REF!*1.12</f>
        <v>#REF!</v>
      </c>
      <c r="L92" s="13" t="e">
        <f>#REF!*1.12</f>
        <v>#REF!</v>
      </c>
      <c r="M92" s="13" t="e">
        <f>#REF!*1.12</f>
        <v>#REF!</v>
      </c>
      <c r="N92" s="13" t="e">
        <f>#REF!*1.12</f>
        <v>#REF!</v>
      </c>
      <c r="O92" s="13" t="e">
        <f>#REF!*1.12</f>
        <v>#REF!</v>
      </c>
      <c r="P92" s="13" t="e">
        <f>#REF!*1.12</f>
        <v>#REF!</v>
      </c>
      <c r="Q92" s="13" t="e">
        <f>#REF!*1.12</f>
        <v>#REF!</v>
      </c>
      <c r="R92" s="13" t="e">
        <f>#REF!*1.12</f>
        <v>#REF!</v>
      </c>
      <c r="S92" s="13" t="e">
        <f>#REF!*1.12</f>
        <v>#REF!</v>
      </c>
      <c r="T92" s="13" t="e">
        <f>#REF!*1.12</f>
        <v>#REF!</v>
      </c>
      <c r="U92" s="13" t="e">
        <f t="shared" si="24"/>
        <v>#REF!</v>
      </c>
      <c r="V92" s="24"/>
      <c r="W92" s="15">
        <v>30.86</v>
      </c>
      <c r="X92" s="5"/>
      <c r="Y92" s="71"/>
    </row>
    <row r="93" spans="1:24" ht="15.75">
      <c r="A93" s="36" t="s">
        <v>36</v>
      </c>
      <c r="B93" s="15" t="s">
        <v>224</v>
      </c>
      <c r="C93" s="19" t="s">
        <v>126</v>
      </c>
      <c r="D93" s="19"/>
      <c r="E93" s="19"/>
      <c r="F93" s="8"/>
      <c r="G93" s="13"/>
      <c r="H93" s="13">
        <v>3896</v>
      </c>
      <c r="I93" s="15" t="e">
        <f>#REF!</f>
        <v>#REF!</v>
      </c>
      <c r="J93" s="15" t="e">
        <f>#REF!</f>
        <v>#REF!</v>
      </c>
      <c r="K93" s="15" t="e">
        <f>#REF!</f>
        <v>#REF!</v>
      </c>
      <c r="L93" s="15" t="e">
        <f>#REF!</f>
        <v>#REF!</v>
      </c>
      <c r="M93" s="15" t="e">
        <f>#REF!</f>
        <v>#REF!</v>
      </c>
      <c r="N93" s="15" t="e">
        <f>#REF!</f>
        <v>#REF!</v>
      </c>
      <c r="O93" s="15" t="e">
        <f>#REF!</f>
        <v>#REF!</v>
      </c>
      <c r="P93" s="15" t="e">
        <f>#REF!</f>
        <v>#REF!</v>
      </c>
      <c r="Q93" s="15" t="e">
        <f>#REF!</f>
        <v>#REF!</v>
      </c>
      <c r="R93" s="15" t="e">
        <f>#REF!</f>
        <v>#REF!</v>
      </c>
      <c r="S93" s="15" t="e">
        <f>#REF!</f>
        <v>#REF!</v>
      </c>
      <c r="T93" s="15" t="e">
        <f>#REF!</f>
        <v>#REF!</v>
      </c>
      <c r="U93" s="13" t="e">
        <f t="shared" si="24"/>
        <v>#REF!</v>
      </c>
      <c r="V93" s="15"/>
      <c r="W93" s="15"/>
      <c r="X93" s="5"/>
    </row>
    <row r="94" spans="1:24" ht="31.5">
      <c r="A94" s="36" t="s">
        <v>37</v>
      </c>
      <c r="B94" s="57" t="s">
        <v>151</v>
      </c>
      <c r="C94" s="19" t="s">
        <v>126</v>
      </c>
      <c r="D94" s="45"/>
      <c r="E94" s="19"/>
      <c r="F94" s="8"/>
      <c r="G94" s="13"/>
      <c r="H94" s="13">
        <v>2585.23</v>
      </c>
      <c r="I94" s="15" t="e">
        <f>#REF!+G94</f>
        <v>#REF!</v>
      </c>
      <c r="J94" s="15" t="e">
        <f>#REF!</f>
        <v>#REF!</v>
      </c>
      <c r="K94" s="15" t="e">
        <f>#REF!</f>
        <v>#REF!</v>
      </c>
      <c r="L94" s="15" t="e">
        <f>#REF!</f>
        <v>#REF!</v>
      </c>
      <c r="M94" s="15" t="e">
        <f>#REF!</f>
        <v>#REF!</v>
      </c>
      <c r="N94" s="15" t="e">
        <f>#REF!</f>
        <v>#REF!</v>
      </c>
      <c r="O94" s="15" t="e">
        <f>#REF!</f>
        <v>#REF!</v>
      </c>
      <c r="P94" s="15" t="e">
        <f>#REF!</f>
        <v>#REF!</v>
      </c>
      <c r="Q94" s="15" t="e">
        <f>#REF!</f>
        <v>#REF!</v>
      </c>
      <c r="R94" s="15" t="e">
        <f>#REF!</f>
        <v>#REF!</v>
      </c>
      <c r="S94" s="15" t="e">
        <f>#REF!</f>
        <v>#REF!</v>
      </c>
      <c r="T94" s="15" t="e">
        <f>#REF!</f>
        <v>#REF!</v>
      </c>
      <c r="U94" s="13" t="e">
        <f t="shared" si="24"/>
        <v>#REF!</v>
      </c>
      <c r="V94" s="15"/>
      <c r="W94" s="15"/>
      <c r="X94" s="5"/>
    </row>
    <row r="95" spans="1:24" ht="15.75">
      <c r="A95" s="36" t="s">
        <v>38</v>
      </c>
      <c r="B95" s="57" t="s">
        <v>242</v>
      </c>
      <c r="C95" s="19" t="s">
        <v>126</v>
      </c>
      <c r="D95" s="45"/>
      <c r="E95" s="19"/>
      <c r="F95" s="13"/>
      <c r="G95" s="13">
        <f>12.55</f>
        <v>12.55</v>
      </c>
      <c r="H95" s="13">
        <v>336</v>
      </c>
      <c r="I95" s="15" t="e">
        <f>#REF!*1.12</f>
        <v>#REF!</v>
      </c>
      <c r="J95" s="15" t="e">
        <f>#REF!*1.12</f>
        <v>#REF!</v>
      </c>
      <c r="K95" s="15" t="e">
        <f>#REF!*1.12</f>
        <v>#REF!</v>
      </c>
      <c r="L95" s="15" t="e">
        <f>#REF!*1.12</f>
        <v>#REF!</v>
      </c>
      <c r="M95" s="15" t="e">
        <f>#REF!*1.12</f>
        <v>#REF!</v>
      </c>
      <c r="N95" s="15" t="e">
        <f>#REF!*1.12</f>
        <v>#REF!</v>
      </c>
      <c r="O95" s="15" t="e">
        <f>#REF!*1.12</f>
        <v>#REF!</v>
      </c>
      <c r="P95" s="15" t="e">
        <f>#REF!*1.12</f>
        <v>#REF!</v>
      </c>
      <c r="Q95" s="15" t="e">
        <f>#REF!*1.12</f>
        <v>#REF!</v>
      </c>
      <c r="R95" s="15" t="e">
        <f>#REF!*1.12</f>
        <v>#REF!</v>
      </c>
      <c r="S95" s="15" t="e">
        <f>#REF!*1.12</f>
        <v>#REF!</v>
      </c>
      <c r="T95" s="15" t="e">
        <f>#REF!*1.12</f>
        <v>#REF!</v>
      </c>
      <c r="U95" s="13" t="e">
        <f t="shared" si="24"/>
        <v>#REF!</v>
      </c>
      <c r="V95" s="15"/>
      <c r="W95" s="15"/>
      <c r="X95" s="5"/>
    </row>
    <row r="96" spans="1:24" ht="15.75" hidden="1">
      <c r="A96" s="36"/>
      <c r="B96" s="57"/>
      <c r="C96" s="19"/>
      <c r="D96" s="45"/>
      <c r="E96" s="19"/>
      <c r="F96" s="13"/>
      <c r="G96" s="13"/>
      <c r="H96" s="13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3"/>
      <c r="V96" s="15"/>
      <c r="W96" s="15"/>
      <c r="X96" s="5"/>
    </row>
    <row r="97" spans="1:23" ht="15.75">
      <c r="A97" s="36" t="s">
        <v>39</v>
      </c>
      <c r="B97" s="15" t="s">
        <v>243</v>
      </c>
      <c r="C97" s="19" t="s">
        <v>126</v>
      </c>
      <c r="D97" s="45"/>
      <c r="E97" s="19"/>
      <c r="F97" s="13"/>
      <c r="G97" s="13">
        <v>30.672</v>
      </c>
      <c r="H97" s="13">
        <v>336</v>
      </c>
      <c r="I97" s="15">
        <v>30.672</v>
      </c>
      <c r="J97" s="15" t="e">
        <f>#REF!*1.12</f>
        <v>#REF!</v>
      </c>
      <c r="K97" s="15" t="e">
        <f>#REF!*1.12</f>
        <v>#REF!</v>
      </c>
      <c r="L97" s="15" t="e">
        <f>#REF!*1.12</f>
        <v>#REF!</v>
      </c>
      <c r="M97" s="15" t="e">
        <f>#REF!*1.12</f>
        <v>#REF!</v>
      </c>
      <c r="N97" s="15" t="e">
        <f>#REF!*1.12</f>
        <v>#REF!</v>
      </c>
      <c r="O97" s="15" t="e">
        <f>#REF!*1.12</f>
        <v>#REF!</v>
      </c>
      <c r="P97" s="15" t="e">
        <f>#REF!*1.12</f>
        <v>#REF!</v>
      </c>
      <c r="Q97" s="15" t="e">
        <f>#REF!*1.12</f>
        <v>#REF!</v>
      </c>
      <c r="R97" s="15" t="e">
        <f>#REF!*1.12</f>
        <v>#REF!</v>
      </c>
      <c r="S97" s="15" t="e">
        <f>#REF!*1.12</f>
        <v>#REF!</v>
      </c>
      <c r="T97" s="15" t="e">
        <f>#REF!*1.12</f>
        <v>#REF!</v>
      </c>
      <c r="U97" s="13" t="e">
        <f t="shared" si="24"/>
        <v>#REF!</v>
      </c>
      <c r="V97" s="15"/>
      <c r="W97" s="15">
        <v>106.24</v>
      </c>
    </row>
    <row r="98" spans="1:24" ht="15.75">
      <c r="A98" s="36" t="s">
        <v>121</v>
      </c>
      <c r="B98" s="15" t="s">
        <v>244</v>
      </c>
      <c r="C98" s="19" t="s">
        <v>126</v>
      </c>
      <c r="D98" s="45"/>
      <c r="E98" s="19"/>
      <c r="F98" s="13"/>
      <c r="G98" s="13">
        <v>33.363</v>
      </c>
      <c r="H98" s="13">
        <v>1194.4289999999999</v>
      </c>
      <c r="I98" s="15">
        <v>33.363</v>
      </c>
      <c r="J98" s="15" t="e">
        <f>#REF!</f>
        <v>#REF!</v>
      </c>
      <c r="K98" s="15" t="e">
        <f>#REF!</f>
        <v>#REF!</v>
      </c>
      <c r="L98" s="15" t="e">
        <f>#REF!</f>
        <v>#REF!</v>
      </c>
      <c r="M98" s="15" t="e">
        <f>#REF!</f>
        <v>#REF!</v>
      </c>
      <c r="N98" s="15" t="e">
        <f>#REF!</f>
        <v>#REF!</v>
      </c>
      <c r="O98" s="15" t="e">
        <f>#REF!</f>
        <v>#REF!</v>
      </c>
      <c r="P98" s="15" t="e">
        <f>#REF!</f>
        <v>#REF!</v>
      </c>
      <c r="Q98" s="15" t="e">
        <f>#REF!</f>
        <v>#REF!</v>
      </c>
      <c r="R98" s="15" t="e">
        <f>#REF!</f>
        <v>#REF!</v>
      </c>
      <c r="S98" s="15" t="e">
        <f>#REF!</f>
        <v>#REF!</v>
      </c>
      <c r="T98" s="15" t="e">
        <f>#REF!</f>
        <v>#REF!</v>
      </c>
      <c r="U98" s="13" t="e">
        <f t="shared" si="24"/>
        <v>#REF!</v>
      </c>
      <c r="V98" s="15"/>
      <c r="W98" s="15">
        <v>71.63</v>
      </c>
      <c r="X98" s="5"/>
    </row>
    <row r="99" spans="1:23" ht="15.75">
      <c r="A99" s="36" t="s">
        <v>40</v>
      </c>
      <c r="B99" s="15" t="s">
        <v>245</v>
      </c>
      <c r="C99" s="19" t="s">
        <v>126</v>
      </c>
      <c r="D99" s="45"/>
      <c r="E99" s="19"/>
      <c r="F99" s="13">
        <v>142.56</v>
      </c>
      <c r="G99" s="13"/>
      <c r="H99" s="13">
        <v>554</v>
      </c>
      <c r="I99" s="15"/>
      <c r="J99" s="15"/>
      <c r="K99" s="15"/>
      <c r="L99" s="15"/>
      <c r="M99" s="15">
        <v>188</v>
      </c>
      <c r="N99" s="15"/>
      <c r="O99" s="15"/>
      <c r="P99" s="15"/>
      <c r="Q99" s="15"/>
      <c r="R99" s="15"/>
      <c r="S99" s="15">
        <v>366</v>
      </c>
      <c r="T99" s="15"/>
      <c r="U99" s="13">
        <f t="shared" si="24"/>
        <v>554</v>
      </c>
      <c r="V99" s="15"/>
      <c r="W99" s="15"/>
    </row>
    <row r="100" spans="1:24" ht="15.75">
      <c r="A100" s="46" t="s">
        <v>41</v>
      </c>
      <c r="B100" s="15" t="s">
        <v>274</v>
      </c>
      <c r="C100" s="19" t="s">
        <v>126</v>
      </c>
      <c r="D100" s="45"/>
      <c r="E100" s="19"/>
      <c r="F100" s="13"/>
      <c r="G100" s="13">
        <v>31.365</v>
      </c>
      <c r="H100" s="13">
        <v>245.5</v>
      </c>
      <c r="I100" s="15" t="e">
        <f>#REF!</f>
        <v>#REF!</v>
      </c>
      <c r="J100" s="15" t="e">
        <f>#REF!</f>
        <v>#REF!</v>
      </c>
      <c r="K100" s="15" t="e">
        <f>#REF!</f>
        <v>#REF!</v>
      </c>
      <c r="L100" s="15" t="e">
        <f>#REF!</f>
        <v>#REF!</v>
      </c>
      <c r="M100" s="15" t="e">
        <f>#REF!</f>
        <v>#REF!</v>
      </c>
      <c r="N100" s="15" t="e">
        <f>#REF!</f>
        <v>#REF!</v>
      </c>
      <c r="O100" s="15" t="e">
        <f>#REF!</f>
        <v>#REF!</v>
      </c>
      <c r="P100" s="15" t="e">
        <f>#REF!</f>
        <v>#REF!</v>
      </c>
      <c r="Q100" s="15" t="e">
        <f>#REF!</f>
        <v>#REF!</v>
      </c>
      <c r="R100" s="15" t="e">
        <f>#REF!</f>
        <v>#REF!</v>
      </c>
      <c r="S100" s="15" t="e">
        <f>#REF!</f>
        <v>#REF!</v>
      </c>
      <c r="T100" s="15" t="e">
        <f>#REF!</f>
        <v>#REF!</v>
      </c>
      <c r="U100" s="13" t="e">
        <f t="shared" si="24"/>
        <v>#REF!</v>
      </c>
      <c r="V100" s="15"/>
      <c r="W100" s="15"/>
      <c r="X100" s="5"/>
    </row>
    <row r="101" spans="1:23" ht="15.75">
      <c r="A101" s="46" t="s">
        <v>42</v>
      </c>
      <c r="B101" s="81" t="s">
        <v>249</v>
      </c>
      <c r="C101" s="19" t="s">
        <v>126</v>
      </c>
      <c r="D101" s="45"/>
      <c r="E101" s="19"/>
      <c r="F101" s="13"/>
      <c r="G101" s="13">
        <v>2209.942</v>
      </c>
      <c r="H101" s="13">
        <v>12459.563624000002</v>
      </c>
      <c r="I101" s="15">
        <v>18.97</v>
      </c>
      <c r="J101" s="15" t="e">
        <f>#REF!*1.12+G101</f>
        <v>#REF!</v>
      </c>
      <c r="K101" s="15" t="e">
        <f>#REF!*1.12</f>
        <v>#REF!</v>
      </c>
      <c r="L101" s="15" t="e">
        <f>#REF!*1.12</f>
        <v>#REF!</v>
      </c>
      <c r="M101" s="15" t="e">
        <f>#REF!*1.12</f>
        <v>#REF!</v>
      </c>
      <c r="N101" s="15" t="e">
        <f>#REF!*1.12</f>
        <v>#REF!</v>
      </c>
      <c r="O101" s="15" t="e">
        <f>#REF!*1.12</f>
        <v>#REF!</v>
      </c>
      <c r="P101" s="15" t="e">
        <f>#REF!*1.12</f>
        <v>#REF!</v>
      </c>
      <c r="Q101" s="15" t="e">
        <f>#REF!*1.12</f>
        <v>#REF!</v>
      </c>
      <c r="R101" s="15" t="e">
        <f>#REF!*1.12</f>
        <v>#REF!</v>
      </c>
      <c r="S101" s="15" t="e">
        <f>#REF!*1.12</f>
        <v>#REF!</v>
      </c>
      <c r="T101" s="15" t="e">
        <f>#REF!*1.12</f>
        <v>#REF!</v>
      </c>
      <c r="U101" s="13" t="e">
        <f t="shared" si="24"/>
        <v>#REF!</v>
      </c>
      <c r="V101" s="15"/>
      <c r="W101" s="15"/>
    </row>
    <row r="102" spans="1:23" ht="15.75">
      <c r="A102" s="46" t="s">
        <v>143</v>
      </c>
      <c r="B102" s="81" t="s">
        <v>248</v>
      </c>
      <c r="C102" s="19" t="s">
        <v>126</v>
      </c>
      <c r="D102" s="45"/>
      <c r="E102" s="19"/>
      <c r="F102" s="13"/>
      <c r="G102" s="13">
        <v>1600</v>
      </c>
      <c r="H102" s="13">
        <v>1680</v>
      </c>
      <c r="I102" s="15">
        <v>600</v>
      </c>
      <c r="J102" s="15">
        <v>1000</v>
      </c>
      <c r="K102" s="15" t="e">
        <f>#REF!*1.12</f>
        <v>#REF!</v>
      </c>
      <c r="L102" s="15" t="e">
        <f>#REF!*1.12</f>
        <v>#REF!</v>
      </c>
      <c r="M102" s="15" t="e">
        <f>#REF!*1.12</f>
        <v>#REF!</v>
      </c>
      <c r="N102" s="15" t="e">
        <f>#REF!*1.12</f>
        <v>#REF!</v>
      </c>
      <c r="O102" s="15" t="e">
        <f>#REF!*1.12</f>
        <v>#REF!</v>
      </c>
      <c r="P102" s="15" t="e">
        <f>#REF!*1.12</f>
        <v>#REF!</v>
      </c>
      <c r="Q102" s="15" t="e">
        <f>#REF!*1.12</f>
        <v>#REF!</v>
      </c>
      <c r="R102" s="15" t="e">
        <f>#REF!*1.12</f>
        <v>#REF!</v>
      </c>
      <c r="S102" s="15" t="e">
        <f>#REF!*1.12</f>
        <v>#REF!</v>
      </c>
      <c r="T102" s="15" t="e">
        <f>#REF!*1.12</f>
        <v>#REF!</v>
      </c>
      <c r="U102" s="13" t="e">
        <f t="shared" si="24"/>
        <v>#REF!</v>
      </c>
      <c r="V102" s="15"/>
      <c r="W102" s="15"/>
    </row>
    <row r="103" spans="1:23" ht="15.75">
      <c r="A103" s="46" t="s">
        <v>144</v>
      </c>
      <c r="B103" s="81" t="s">
        <v>184</v>
      </c>
      <c r="C103" s="19" t="s">
        <v>126</v>
      </c>
      <c r="D103" s="45"/>
      <c r="E103" s="19"/>
      <c r="F103" s="13"/>
      <c r="G103" s="13"/>
      <c r="H103" s="13">
        <v>8500</v>
      </c>
      <c r="I103" s="15" t="e">
        <f>#REF!*1.12</f>
        <v>#REF!</v>
      </c>
      <c r="J103" s="15" t="e">
        <f>#REF!*1.12</f>
        <v>#REF!</v>
      </c>
      <c r="K103" s="15" t="e">
        <f>#REF!*1.12</f>
        <v>#REF!</v>
      </c>
      <c r="L103" s="15" t="e">
        <f>#REF!*1.12</f>
        <v>#REF!</v>
      </c>
      <c r="M103" s="15" t="e">
        <f>#REF!*1.12</f>
        <v>#REF!</v>
      </c>
      <c r="N103" s="15" t="e">
        <f>#REF!*1.12</f>
        <v>#REF!</v>
      </c>
      <c r="O103" s="15" t="e">
        <f>#REF!*1.12</f>
        <v>#REF!</v>
      </c>
      <c r="P103" s="15" t="e">
        <f>#REF!*1.12</f>
        <v>#REF!</v>
      </c>
      <c r="Q103" s="15" t="e">
        <f>#REF!*1.12</f>
        <v>#REF!</v>
      </c>
      <c r="R103" s="15" t="e">
        <f>#REF!*1.12</f>
        <v>#REF!</v>
      </c>
      <c r="S103" s="15" t="e">
        <f>#REF!*1.12</f>
        <v>#REF!</v>
      </c>
      <c r="T103" s="15" t="e">
        <f>#REF!*1.12</f>
        <v>#REF!</v>
      </c>
      <c r="U103" s="13" t="e">
        <f t="shared" si="24"/>
        <v>#REF!</v>
      </c>
      <c r="V103" s="15"/>
      <c r="W103" s="15"/>
    </row>
    <row r="104" spans="1:23" ht="15.75">
      <c r="A104" s="46" t="s">
        <v>145</v>
      </c>
      <c r="B104" s="81" t="s">
        <v>49</v>
      </c>
      <c r="C104" s="19" t="s">
        <v>126</v>
      </c>
      <c r="D104" s="45"/>
      <c r="E104" s="19"/>
      <c r="F104" s="13"/>
      <c r="G104" s="13"/>
      <c r="H104" s="13">
        <v>258.2944</v>
      </c>
      <c r="I104" s="15" t="e">
        <f>#REF!*1.12</f>
        <v>#REF!</v>
      </c>
      <c r="J104" s="15" t="e">
        <f>#REF!*1.12</f>
        <v>#REF!</v>
      </c>
      <c r="K104" s="15" t="e">
        <f>#REF!*1.12</f>
        <v>#REF!</v>
      </c>
      <c r="L104" s="15" t="e">
        <f>#REF!*1.12</f>
        <v>#REF!</v>
      </c>
      <c r="M104" s="15" t="e">
        <f>#REF!*1.12</f>
        <v>#REF!</v>
      </c>
      <c r="N104" s="15" t="e">
        <f>#REF!*1.12</f>
        <v>#REF!</v>
      </c>
      <c r="O104" s="15" t="e">
        <f>#REF!*1.12</f>
        <v>#REF!</v>
      </c>
      <c r="P104" s="15" t="e">
        <f>#REF!*1.12</f>
        <v>#REF!</v>
      </c>
      <c r="Q104" s="15" t="e">
        <f>#REF!*1.12</f>
        <v>#REF!</v>
      </c>
      <c r="R104" s="15" t="e">
        <f>#REF!*1.12</f>
        <v>#REF!</v>
      </c>
      <c r="S104" s="15" t="e">
        <f>#REF!*1.12</f>
        <v>#REF!</v>
      </c>
      <c r="T104" s="15" t="e">
        <f>#REF!*1.12</f>
        <v>#REF!</v>
      </c>
      <c r="U104" s="13" t="e">
        <f t="shared" si="24"/>
        <v>#REF!</v>
      </c>
      <c r="V104" s="15"/>
      <c r="W104" s="15"/>
    </row>
    <row r="105" spans="1:23" ht="15.75" hidden="1">
      <c r="A105" s="46"/>
      <c r="B105" s="81"/>
      <c r="C105" s="19"/>
      <c r="D105" s="45"/>
      <c r="E105" s="19"/>
      <c r="F105" s="13"/>
      <c r="G105" s="13"/>
      <c r="H105" s="13">
        <v>0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3">
        <f t="shared" si="24"/>
        <v>0</v>
      </c>
      <c r="V105" s="15"/>
      <c r="W105" s="15"/>
    </row>
    <row r="106" spans="1:23" ht="15.75">
      <c r="A106" s="46" t="s">
        <v>135</v>
      </c>
      <c r="B106" s="81" t="s">
        <v>129</v>
      </c>
      <c r="C106" s="19" t="s">
        <v>126</v>
      </c>
      <c r="D106" s="45"/>
      <c r="E106" s="19"/>
      <c r="F106" s="13"/>
      <c r="G106" s="13"/>
      <c r="H106" s="13">
        <v>181.9888</v>
      </c>
      <c r="I106" s="15"/>
      <c r="J106" s="15" t="e">
        <f>#REF!*1.12</f>
        <v>#REF!</v>
      </c>
      <c r="K106" s="15" t="e">
        <f>#REF!*1.12</f>
        <v>#REF!</v>
      </c>
      <c r="L106" s="15" t="e">
        <f>#REF!*1.12</f>
        <v>#REF!</v>
      </c>
      <c r="M106" s="15" t="e">
        <f>#REF!*1.12</f>
        <v>#REF!</v>
      </c>
      <c r="N106" s="15" t="e">
        <f>#REF!*1.12</f>
        <v>#REF!</v>
      </c>
      <c r="O106" s="15" t="e">
        <f>#REF!*1.12</f>
        <v>#REF!</v>
      </c>
      <c r="P106" s="15" t="e">
        <f>#REF!*1.12</f>
        <v>#REF!</v>
      </c>
      <c r="Q106" s="15" t="e">
        <f>#REF!*1.12</f>
        <v>#REF!</v>
      </c>
      <c r="R106" s="15" t="e">
        <f>#REF!*1.12</f>
        <v>#REF!</v>
      </c>
      <c r="S106" s="15" t="e">
        <f>#REF!*1.12</f>
        <v>#REF!</v>
      </c>
      <c r="T106" s="15" t="e">
        <f>#REF!*1.12</f>
        <v>#REF!</v>
      </c>
      <c r="U106" s="13" t="e">
        <f t="shared" si="24"/>
        <v>#REF!</v>
      </c>
      <c r="V106" s="15"/>
      <c r="W106" s="15"/>
    </row>
    <row r="107" spans="1:23" ht="15.75">
      <c r="A107" s="36" t="s">
        <v>86</v>
      </c>
      <c r="B107" s="15" t="s">
        <v>273</v>
      </c>
      <c r="C107" s="19" t="s">
        <v>126</v>
      </c>
      <c r="D107" s="45"/>
      <c r="E107" s="19"/>
      <c r="F107" s="13"/>
      <c r="G107" s="13"/>
      <c r="H107" s="13">
        <v>50.4</v>
      </c>
      <c r="I107" s="15" t="e">
        <f>#REF!*1.12</f>
        <v>#REF!</v>
      </c>
      <c r="J107" s="15" t="e">
        <f>#REF!*1.12</f>
        <v>#REF!</v>
      </c>
      <c r="K107" s="15" t="e">
        <f>#REF!*1.12</f>
        <v>#REF!</v>
      </c>
      <c r="L107" s="15" t="e">
        <f>#REF!*1.12</f>
        <v>#REF!</v>
      </c>
      <c r="M107" s="15" t="e">
        <f>#REF!*1.12</f>
        <v>#REF!</v>
      </c>
      <c r="N107" s="15" t="e">
        <f>#REF!*1.12</f>
        <v>#REF!</v>
      </c>
      <c r="O107" s="15" t="e">
        <f>#REF!*1.12</f>
        <v>#REF!</v>
      </c>
      <c r="P107" s="15" t="e">
        <f>#REF!*1.12</f>
        <v>#REF!</v>
      </c>
      <c r="Q107" s="15" t="e">
        <f>#REF!*1.12</f>
        <v>#REF!</v>
      </c>
      <c r="R107" s="15" t="e">
        <f>#REF!*1.12</f>
        <v>#REF!</v>
      </c>
      <c r="S107" s="15" t="e">
        <f>#REF!*1.12</f>
        <v>#REF!</v>
      </c>
      <c r="T107" s="15" t="e">
        <f>#REF!*1.12</f>
        <v>#REF!</v>
      </c>
      <c r="U107" s="13" t="e">
        <f t="shared" si="24"/>
        <v>#REF!</v>
      </c>
      <c r="V107" s="15"/>
      <c r="W107" s="15"/>
    </row>
    <row r="108" spans="1:23" ht="15.75">
      <c r="A108" s="36" t="s">
        <v>136</v>
      </c>
      <c r="B108" s="15" t="s">
        <v>194</v>
      </c>
      <c r="C108" s="19" t="s">
        <v>126</v>
      </c>
      <c r="D108" s="45"/>
      <c r="E108" s="19"/>
      <c r="F108" s="13"/>
      <c r="G108" s="13"/>
      <c r="H108" s="13">
        <v>532.4928</v>
      </c>
      <c r="I108" s="15">
        <f>9.5</f>
        <v>9.5</v>
      </c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3">
        <f t="shared" si="24"/>
        <v>9.5</v>
      </c>
      <c r="V108" s="15"/>
      <c r="W108" s="15"/>
    </row>
    <row r="109" spans="1:23" ht="15.75">
      <c r="A109" s="36" t="s">
        <v>87</v>
      </c>
      <c r="B109" s="15" t="s">
        <v>50</v>
      </c>
      <c r="C109" s="19" t="s">
        <v>126</v>
      </c>
      <c r="D109" s="45"/>
      <c r="E109" s="19"/>
      <c r="F109" s="13"/>
      <c r="G109" s="13"/>
      <c r="H109" s="13">
        <v>1642.5</v>
      </c>
      <c r="I109" s="15" t="e">
        <f>#REF!*1.12</f>
        <v>#REF!</v>
      </c>
      <c r="J109" s="15" t="e">
        <f>#REF!*1.12</f>
        <v>#REF!</v>
      </c>
      <c r="K109" s="15" t="e">
        <f>#REF!*1.12</f>
        <v>#REF!</v>
      </c>
      <c r="L109" s="15" t="e">
        <f>#REF!*1.12</f>
        <v>#REF!</v>
      </c>
      <c r="M109" s="15" t="e">
        <f>#REF!*1.12</f>
        <v>#REF!</v>
      </c>
      <c r="N109" s="15" t="e">
        <f>#REF!*1.12</f>
        <v>#REF!</v>
      </c>
      <c r="O109" s="15" t="e">
        <f>#REF!*1.12</f>
        <v>#REF!</v>
      </c>
      <c r="P109" s="15" t="e">
        <f>#REF!*1.12</f>
        <v>#REF!</v>
      </c>
      <c r="Q109" s="15" t="e">
        <f>#REF!*1.12</f>
        <v>#REF!</v>
      </c>
      <c r="R109" s="15" t="e">
        <f>#REF!*1.12</f>
        <v>#REF!</v>
      </c>
      <c r="S109" s="15" t="e">
        <f>#REF!*1.12</f>
        <v>#REF!</v>
      </c>
      <c r="T109" s="15" t="e">
        <f>#REF!*1.12</f>
        <v>#REF!</v>
      </c>
      <c r="U109" s="13" t="e">
        <f t="shared" si="24"/>
        <v>#REF!</v>
      </c>
      <c r="V109" s="15"/>
      <c r="W109" s="15"/>
    </row>
    <row r="110" spans="1:23" s="34" customFormat="1" ht="15.75">
      <c r="A110" s="41" t="s">
        <v>11</v>
      </c>
      <c r="B110" s="59" t="s">
        <v>43</v>
      </c>
      <c r="C110" s="6" t="s">
        <v>126</v>
      </c>
      <c r="D110" s="113"/>
      <c r="E110" s="6"/>
      <c r="F110" s="14">
        <f>F111+F112+F113</f>
        <v>7593.373</v>
      </c>
      <c r="G110" s="14">
        <f>G111+G112+G113</f>
        <v>76441.62700000001</v>
      </c>
      <c r="H110" s="14">
        <v>203268.3771769793</v>
      </c>
      <c r="I110" s="14" t="e">
        <f aca="true" t="shared" si="25" ref="I110:U110">I111+I112+I113</f>
        <v>#REF!</v>
      </c>
      <c r="J110" s="14" t="e">
        <f t="shared" si="25"/>
        <v>#REF!</v>
      </c>
      <c r="K110" s="14" t="e">
        <f t="shared" si="25"/>
        <v>#REF!</v>
      </c>
      <c r="L110" s="14" t="e">
        <f t="shared" si="25"/>
        <v>#REF!</v>
      </c>
      <c r="M110" s="14" t="e">
        <f t="shared" si="25"/>
        <v>#REF!</v>
      </c>
      <c r="N110" s="14" t="e">
        <f t="shared" si="25"/>
        <v>#REF!</v>
      </c>
      <c r="O110" s="14" t="e">
        <f t="shared" si="25"/>
        <v>#REF!</v>
      </c>
      <c r="P110" s="14" t="e">
        <f t="shared" si="25"/>
        <v>#REF!</v>
      </c>
      <c r="Q110" s="14" t="e">
        <f t="shared" si="25"/>
        <v>#REF!</v>
      </c>
      <c r="R110" s="14" t="e">
        <f t="shared" si="25"/>
        <v>#REF!</v>
      </c>
      <c r="S110" s="14" t="e">
        <f t="shared" si="25"/>
        <v>#REF!</v>
      </c>
      <c r="T110" s="14" t="e">
        <f t="shared" si="25"/>
        <v>#REF!</v>
      </c>
      <c r="U110" s="14" t="e">
        <f t="shared" si="25"/>
        <v>#REF!</v>
      </c>
      <c r="V110" s="17">
        <f>V111+V112</f>
        <v>0</v>
      </c>
      <c r="W110" s="17" t="e">
        <f>W111+W112</f>
        <v>#REF!</v>
      </c>
    </row>
    <row r="111" spans="1:23" s="68" customFormat="1" ht="15.75">
      <c r="A111" s="64"/>
      <c r="B111" s="63" t="s">
        <v>189</v>
      </c>
      <c r="C111" s="65" t="s">
        <v>126</v>
      </c>
      <c r="D111" s="66"/>
      <c r="E111" s="65"/>
      <c r="F111" s="67">
        <v>49.598</v>
      </c>
      <c r="G111" s="67">
        <v>2.19</v>
      </c>
      <c r="H111" s="67">
        <v>13057.536</v>
      </c>
      <c r="I111" s="60" t="e">
        <f>#REF!</f>
        <v>#REF!</v>
      </c>
      <c r="J111" s="60" t="e">
        <f>#REF!</f>
        <v>#REF!</v>
      </c>
      <c r="K111" s="60" t="e">
        <f>#REF!</f>
        <v>#REF!</v>
      </c>
      <c r="L111" s="60" t="e">
        <f>#REF!</f>
        <v>#REF!</v>
      </c>
      <c r="M111" s="60" t="e">
        <f>#REF!</f>
        <v>#REF!</v>
      </c>
      <c r="N111" s="60" t="e">
        <f>#REF!</f>
        <v>#REF!</v>
      </c>
      <c r="O111" s="60" t="e">
        <f>#REF!</f>
        <v>#REF!</v>
      </c>
      <c r="P111" s="60" t="e">
        <f>#REF!</f>
        <v>#REF!</v>
      </c>
      <c r="Q111" s="60" t="e">
        <f>#REF!</f>
        <v>#REF!</v>
      </c>
      <c r="R111" s="60" t="e">
        <f>#REF!</f>
        <v>#REF!</v>
      </c>
      <c r="S111" s="60" t="e">
        <f>#REF!</f>
        <v>#REF!</v>
      </c>
      <c r="T111" s="60" t="e">
        <f>#REF!</f>
        <v>#REF!</v>
      </c>
      <c r="U111" s="13" t="e">
        <f>SUM(I111:T111)</f>
        <v>#REF!</v>
      </c>
      <c r="V111" s="60"/>
      <c r="W111" s="60"/>
    </row>
    <row r="112" spans="1:23" s="68" customFormat="1" ht="15.75">
      <c r="A112" s="64"/>
      <c r="B112" s="63" t="s">
        <v>222</v>
      </c>
      <c r="C112" s="65" t="s">
        <v>126</v>
      </c>
      <c r="D112" s="66"/>
      <c r="E112" s="65"/>
      <c r="F112" s="67"/>
      <c r="G112" s="115">
        <f>52577.659-11138.222</f>
        <v>41439.437</v>
      </c>
      <c r="H112" s="115">
        <v>159334.82917697928</v>
      </c>
      <c r="I112" s="60">
        <v>26000</v>
      </c>
      <c r="J112" s="60">
        <f>G112-I112</f>
        <v>15439.436999999998</v>
      </c>
      <c r="K112" s="60" t="e">
        <f>#REF!</f>
        <v>#REF!</v>
      </c>
      <c r="L112" s="60" t="e">
        <f>#REF!</f>
        <v>#REF!</v>
      </c>
      <c r="M112" s="60" t="e">
        <f>#REF!</f>
        <v>#REF!</v>
      </c>
      <c r="N112" s="60" t="e">
        <f>#REF!</f>
        <v>#REF!</v>
      </c>
      <c r="O112" s="60" t="e">
        <f>#REF!</f>
        <v>#REF!</v>
      </c>
      <c r="P112" s="60" t="e">
        <f>#REF!</f>
        <v>#REF!</v>
      </c>
      <c r="Q112" s="60" t="e">
        <f>#REF!</f>
        <v>#REF!</v>
      </c>
      <c r="R112" s="60" t="e">
        <f>#REF!</f>
        <v>#REF!</v>
      </c>
      <c r="S112" s="60" t="e">
        <f>#REF!</f>
        <v>#REF!</v>
      </c>
      <c r="T112" s="60" t="e">
        <f>#REF!</f>
        <v>#REF!</v>
      </c>
      <c r="U112" s="13" t="e">
        <f>SUM(I112:T112)</f>
        <v>#REF!</v>
      </c>
      <c r="V112" s="60"/>
      <c r="W112" s="60" t="e">
        <f>#REF!+#REF!</f>
        <v>#REF!</v>
      </c>
    </row>
    <row r="113" spans="1:23" ht="15.75">
      <c r="A113" s="36"/>
      <c r="B113" s="63" t="s">
        <v>15</v>
      </c>
      <c r="C113" s="65" t="s">
        <v>126</v>
      </c>
      <c r="D113" s="45"/>
      <c r="E113" s="19"/>
      <c r="F113" s="13">
        <v>7543.775</v>
      </c>
      <c r="G113" s="13">
        <v>35000</v>
      </c>
      <c r="H113" s="13">
        <v>30876.012000000006</v>
      </c>
      <c r="I113" s="15"/>
      <c r="J113" s="15"/>
      <c r="K113" s="15"/>
      <c r="L113" s="60"/>
      <c r="M113" s="60"/>
      <c r="N113" s="60"/>
      <c r="O113" s="60"/>
      <c r="P113" s="60"/>
      <c r="Q113" s="60"/>
      <c r="R113" s="60"/>
      <c r="S113" s="60"/>
      <c r="T113" s="60"/>
      <c r="U113" s="13">
        <f>SUM(I113:T113)</f>
        <v>0</v>
      </c>
      <c r="V113" s="15">
        <f>F113</f>
        <v>7543.775</v>
      </c>
      <c r="W113" s="15">
        <v>35000</v>
      </c>
    </row>
    <row r="114" spans="1:23" s="34" customFormat="1" ht="15.75">
      <c r="A114" s="41" t="s">
        <v>12</v>
      </c>
      <c r="B114" s="33" t="s">
        <v>226</v>
      </c>
      <c r="C114" s="6" t="s">
        <v>217</v>
      </c>
      <c r="D114" s="6"/>
      <c r="E114" s="49"/>
      <c r="F114" s="14">
        <f>F116+F119</f>
        <v>0</v>
      </c>
      <c r="G114" s="14">
        <f>G116+G119</f>
        <v>763962.9619999999</v>
      </c>
      <c r="H114" s="14">
        <v>697283.60022</v>
      </c>
      <c r="I114" s="14" t="e">
        <f aca="true" t="shared" si="26" ref="I114:O114">I116+I119</f>
        <v>#REF!</v>
      </c>
      <c r="J114" s="14" t="e">
        <f t="shared" si="26"/>
        <v>#REF!</v>
      </c>
      <c r="K114" s="14" t="e">
        <f t="shared" si="26"/>
        <v>#REF!</v>
      </c>
      <c r="L114" s="14" t="e">
        <f t="shared" si="26"/>
        <v>#REF!</v>
      </c>
      <c r="M114" s="14" t="e">
        <f t="shared" si="26"/>
        <v>#REF!</v>
      </c>
      <c r="N114" s="14" t="e">
        <f t="shared" si="26"/>
        <v>#REF!</v>
      </c>
      <c r="O114" s="14" t="e">
        <f t="shared" si="26"/>
        <v>#REF!</v>
      </c>
      <c r="P114" s="14" t="e">
        <f aca="true" t="shared" si="27" ref="P114:W114">P116+P119</f>
        <v>#REF!</v>
      </c>
      <c r="Q114" s="14" t="e">
        <f t="shared" si="27"/>
        <v>#REF!</v>
      </c>
      <c r="R114" s="14" t="e">
        <f t="shared" si="27"/>
        <v>#REF!</v>
      </c>
      <c r="S114" s="14" t="e">
        <f t="shared" si="27"/>
        <v>#REF!</v>
      </c>
      <c r="T114" s="14" t="e">
        <f>T116+T119</f>
        <v>#REF!</v>
      </c>
      <c r="U114" s="14" t="e">
        <f>U116+U119</f>
        <v>#REF!</v>
      </c>
      <c r="V114" s="14">
        <f t="shared" si="27"/>
        <v>0</v>
      </c>
      <c r="W114" s="14">
        <f t="shared" si="27"/>
        <v>448802.03680000006</v>
      </c>
    </row>
    <row r="115" spans="1:23" ht="15.75">
      <c r="A115" s="36"/>
      <c r="B115" s="16" t="s">
        <v>127</v>
      </c>
      <c r="C115" s="19"/>
      <c r="D115" s="19"/>
      <c r="E115" s="47"/>
      <c r="F115" s="8"/>
      <c r="G115" s="8"/>
      <c r="H115" s="8">
        <v>0</v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3">
        <v>0</v>
      </c>
      <c r="V115" s="15"/>
      <c r="W115" s="15"/>
    </row>
    <row r="116" spans="1:23" ht="15.75">
      <c r="A116" s="36" t="s">
        <v>182</v>
      </c>
      <c r="B116" s="48" t="s">
        <v>227</v>
      </c>
      <c r="C116" s="19" t="s">
        <v>217</v>
      </c>
      <c r="D116" s="19"/>
      <c r="E116" s="47"/>
      <c r="F116" s="8"/>
      <c r="G116" s="8">
        <f>G117+G118</f>
        <v>753494.343</v>
      </c>
      <c r="H116" s="8">
        <v>465677.67302</v>
      </c>
      <c r="I116" s="15" t="e">
        <f>I117+I118</f>
        <v>#REF!</v>
      </c>
      <c r="J116" s="15" t="e">
        <f aca="true" t="shared" si="28" ref="J116:U116">J117+J118</f>
        <v>#REF!</v>
      </c>
      <c r="K116" s="15" t="e">
        <f t="shared" si="28"/>
        <v>#REF!</v>
      </c>
      <c r="L116" s="15" t="e">
        <f t="shared" si="28"/>
        <v>#REF!</v>
      </c>
      <c r="M116" s="15" t="e">
        <f t="shared" si="28"/>
        <v>#REF!</v>
      </c>
      <c r="N116" s="15" t="e">
        <f t="shared" si="28"/>
        <v>#REF!</v>
      </c>
      <c r="O116" s="15" t="e">
        <f t="shared" si="28"/>
        <v>#REF!</v>
      </c>
      <c r="P116" s="15" t="e">
        <f t="shared" si="28"/>
        <v>#REF!</v>
      </c>
      <c r="Q116" s="15" t="e">
        <f t="shared" si="28"/>
        <v>#REF!</v>
      </c>
      <c r="R116" s="15" t="e">
        <f t="shared" si="28"/>
        <v>#REF!</v>
      </c>
      <c r="S116" s="15" t="e">
        <f t="shared" si="28"/>
        <v>#REF!</v>
      </c>
      <c r="T116" s="15" t="e">
        <f t="shared" si="28"/>
        <v>#REF!</v>
      </c>
      <c r="U116" s="15" t="e">
        <f t="shared" si="28"/>
        <v>#REF!</v>
      </c>
      <c r="V116" s="15">
        <f>V117+V118</f>
        <v>0</v>
      </c>
      <c r="W116" s="15">
        <f>W117+W118</f>
        <v>391452.28800000006</v>
      </c>
    </row>
    <row r="117" spans="1:25" s="68" customFormat="1" ht="25.5">
      <c r="A117" s="64" t="s">
        <v>191</v>
      </c>
      <c r="B117" s="63" t="s">
        <v>181</v>
      </c>
      <c r="C117" s="65" t="s">
        <v>126</v>
      </c>
      <c r="D117" s="66"/>
      <c r="E117" s="65"/>
      <c r="F117" s="111"/>
      <c r="G117" s="67">
        <v>701.487</v>
      </c>
      <c r="H117" s="67">
        <v>104337.10502</v>
      </c>
      <c r="I117" s="60" t="e">
        <f>#REF!</f>
        <v>#REF!</v>
      </c>
      <c r="J117" s="60" t="e">
        <f>#REF!</f>
        <v>#REF!</v>
      </c>
      <c r="K117" s="60" t="e">
        <f>#REF!</f>
        <v>#REF!</v>
      </c>
      <c r="L117" s="60" t="e">
        <f>#REF!</f>
        <v>#REF!</v>
      </c>
      <c r="M117" s="60" t="e">
        <f>#REF!</f>
        <v>#REF!</v>
      </c>
      <c r="N117" s="60" t="e">
        <f>#REF!</f>
        <v>#REF!</v>
      </c>
      <c r="O117" s="60" t="e">
        <f>#REF!</f>
        <v>#REF!</v>
      </c>
      <c r="P117" s="60" t="e">
        <f>#REF!</f>
        <v>#REF!</v>
      </c>
      <c r="Q117" s="60" t="e">
        <f>#REF!</f>
        <v>#REF!</v>
      </c>
      <c r="R117" s="60" t="e">
        <f>#REF!</f>
        <v>#REF!</v>
      </c>
      <c r="S117" s="60" t="e">
        <f>#REF!</f>
        <v>#REF!</v>
      </c>
      <c r="T117" s="60" t="e">
        <f>#REF!</f>
        <v>#REF!</v>
      </c>
      <c r="U117" s="13" t="e">
        <f>SUM(I117:T117)</f>
        <v>#REF!</v>
      </c>
      <c r="V117" s="60"/>
      <c r="W117" s="60"/>
      <c r="Y117" s="61"/>
    </row>
    <row r="118" spans="1:23" s="68" customFormat="1" ht="15.75">
      <c r="A118" s="64" t="s">
        <v>192</v>
      </c>
      <c r="B118" s="112" t="s">
        <v>188</v>
      </c>
      <c r="C118" s="65" t="s">
        <v>126</v>
      </c>
      <c r="D118" s="66"/>
      <c r="E118" s="65"/>
      <c r="F118" s="111"/>
      <c r="G118" s="67">
        <v>752792.856</v>
      </c>
      <c r="H118" s="67">
        <v>361340.56799999997</v>
      </c>
      <c r="I118" s="60">
        <v>30111.714</v>
      </c>
      <c r="J118" s="60">
        <v>30111.714</v>
      </c>
      <c r="K118" s="60">
        <v>30111.714</v>
      </c>
      <c r="L118" s="60">
        <v>30111.714</v>
      </c>
      <c r="M118" s="60">
        <v>30111.714</v>
      </c>
      <c r="N118" s="60">
        <v>30111.714</v>
      </c>
      <c r="O118" s="60">
        <v>30111.714</v>
      </c>
      <c r="P118" s="60">
        <v>30111.714</v>
      </c>
      <c r="Q118" s="60">
        <v>30111.714</v>
      </c>
      <c r="R118" s="60">
        <v>30111.714</v>
      </c>
      <c r="S118" s="60">
        <v>30111.714</v>
      </c>
      <c r="T118" s="60">
        <v>30111.714</v>
      </c>
      <c r="U118" s="13">
        <f>SUM(I118:T118)</f>
        <v>361340.56799999997</v>
      </c>
      <c r="V118" s="60"/>
      <c r="W118" s="60">
        <f>G118-U118</f>
        <v>391452.28800000006</v>
      </c>
    </row>
    <row r="119" spans="1:23" ht="15.75">
      <c r="A119" s="36" t="s">
        <v>183</v>
      </c>
      <c r="B119" s="48" t="s">
        <v>190</v>
      </c>
      <c r="C119" s="19" t="s">
        <v>217</v>
      </c>
      <c r="D119" s="45"/>
      <c r="E119" s="19"/>
      <c r="F119" s="15">
        <f>SUM(F121:F138)</f>
        <v>0</v>
      </c>
      <c r="G119" s="15">
        <f>SUM(G121:G138)</f>
        <v>10468.619</v>
      </c>
      <c r="H119" s="15">
        <f aca="true" t="shared" si="29" ref="H119:T119">SUM(H121:H138)</f>
        <v>191402.5712</v>
      </c>
      <c r="I119" s="15" t="e">
        <f t="shared" si="29"/>
        <v>#REF!</v>
      </c>
      <c r="J119" s="15" t="e">
        <f t="shared" si="29"/>
        <v>#REF!</v>
      </c>
      <c r="K119" s="15" t="e">
        <f t="shared" si="29"/>
        <v>#REF!</v>
      </c>
      <c r="L119" s="15" t="e">
        <f t="shared" si="29"/>
        <v>#REF!</v>
      </c>
      <c r="M119" s="15" t="e">
        <f t="shared" si="29"/>
        <v>#REF!</v>
      </c>
      <c r="N119" s="15" t="e">
        <f t="shared" si="29"/>
        <v>#REF!</v>
      </c>
      <c r="O119" s="15" t="e">
        <f t="shared" si="29"/>
        <v>#REF!</v>
      </c>
      <c r="P119" s="15" t="e">
        <f t="shared" si="29"/>
        <v>#REF!</v>
      </c>
      <c r="Q119" s="15" t="e">
        <f t="shared" si="29"/>
        <v>#REF!</v>
      </c>
      <c r="R119" s="15" t="e">
        <f t="shared" si="29"/>
        <v>#REF!</v>
      </c>
      <c r="S119" s="15" t="e">
        <f t="shared" si="29"/>
        <v>#REF!</v>
      </c>
      <c r="T119" s="15" t="e">
        <f t="shared" si="29"/>
        <v>#REF!</v>
      </c>
      <c r="U119" s="13" t="e">
        <f>SUM(I119:T119)</f>
        <v>#REF!</v>
      </c>
      <c r="V119" s="15">
        <f>SUM(V121:V138)</f>
        <v>0</v>
      </c>
      <c r="W119" s="15">
        <f>SUM(W121:W138)</f>
        <v>57349.7488</v>
      </c>
    </row>
    <row r="120" spans="1:23" s="68" customFormat="1" ht="15.75">
      <c r="A120" s="64"/>
      <c r="B120" s="112" t="s">
        <v>127</v>
      </c>
      <c r="C120" s="65"/>
      <c r="D120" s="66"/>
      <c r="E120" s="65"/>
      <c r="F120" s="111"/>
      <c r="G120" s="67"/>
      <c r="H120" s="67">
        <v>0</v>
      </c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3">
        <f>SUM(I120:T120)</f>
        <v>0</v>
      </c>
      <c r="V120" s="60"/>
      <c r="W120" s="60"/>
    </row>
    <row r="121" spans="1:23" s="68" customFormat="1" ht="15.75">
      <c r="A121" s="64" t="s">
        <v>253</v>
      </c>
      <c r="B121" s="112" t="s">
        <v>115</v>
      </c>
      <c r="C121" s="65" t="s">
        <v>126</v>
      </c>
      <c r="D121" s="66"/>
      <c r="E121" s="65"/>
      <c r="F121" s="67"/>
      <c r="G121" s="67">
        <f>1825.5+3143.02</f>
        <v>4968.52</v>
      </c>
      <c r="H121" s="67">
        <v>63797.171200000004</v>
      </c>
      <c r="I121" s="60"/>
      <c r="J121" s="60">
        <f>G121</f>
        <v>4968.52</v>
      </c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3">
        <f aca="true" t="shared" si="30" ref="U121:U128">SUM(I121:T121)</f>
        <v>4968.52</v>
      </c>
      <c r="V121" s="60"/>
      <c r="W121" s="60"/>
    </row>
    <row r="122" spans="1:23" s="68" customFormat="1" ht="15.75">
      <c r="A122" s="64" t="s">
        <v>254</v>
      </c>
      <c r="B122" s="112" t="s">
        <v>118</v>
      </c>
      <c r="C122" s="65" t="s">
        <v>126</v>
      </c>
      <c r="D122" s="66"/>
      <c r="E122" s="65"/>
      <c r="F122" s="67"/>
      <c r="G122" s="67">
        <v>2966.654</v>
      </c>
      <c r="H122" s="67">
        <v>90329.88</v>
      </c>
      <c r="I122" s="60">
        <f>G122</f>
        <v>2966.654</v>
      </c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3">
        <f t="shared" si="30"/>
        <v>2966.654</v>
      </c>
      <c r="V122" s="60"/>
      <c r="W122" s="60"/>
    </row>
    <row r="123" spans="1:23" s="68" customFormat="1" ht="15.75">
      <c r="A123" s="64" t="s">
        <v>255</v>
      </c>
      <c r="B123" s="112" t="s">
        <v>119</v>
      </c>
      <c r="C123" s="65" t="s">
        <v>126</v>
      </c>
      <c r="D123" s="66"/>
      <c r="E123" s="65"/>
      <c r="F123" s="67"/>
      <c r="G123" s="67">
        <v>2533.445</v>
      </c>
      <c r="H123" s="67">
        <v>10372.68</v>
      </c>
      <c r="I123" s="60"/>
      <c r="J123" s="60">
        <f>G123</f>
        <v>2533.445</v>
      </c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3">
        <f t="shared" si="30"/>
        <v>2533.445</v>
      </c>
      <c r="V123" s="60"/>
      <c r="W123" s="60"/>
    </row>
    <row r="124" spans="1:23" s="68" customFormat="1" ht="25.5">
      <c r="A124" s="64" t="s">
        <v>256</v>
      </c>
      <c r="B124" s="112" t="s">
        <v>173</v>
      </c>
      <c r="C124" s="65" t="s">
        <v>126</v>
      </c>
      <c r="D124" s="66"/>
      <c r="E124" s="65"/>
      <c r="F124" s="67"/>
      <c r="G124" s="67"/>
      <c r="H124" s="67">
        <v>1464.88</v>
      </c>
      <c r="I124" s="60" t="e">
        <f>#REF!/1000*1.12</f>
        <v>#REF!</v>
      </c>
      <c r="J124" s="60" t="e">
        <f>#REF!/1000*1.12</f>
        <v>#REF!</v>
      </c>
      <c r="K124" s="60" t="e">
        <f>#REF!/1000*1.12</f>
        <v>#REF!</v>
      </c>
      <c r="L124" s="60"/>
      <c r="M124" s="60" t="e">
        <f>#REF!/1000*1.12</f>
        <v>#REF!</v>
      </c>
      <c r="N124" s="60" t="e">
        <f>#REF!/1000*1.12</f>
        <v>#REF!</v>
      </c>
      <c r="O124" s="60" t="e">
        <f>#REF!/1000*1.12</f>
        <v>#REF!</v>
      </c>
      <c r="P124" s="60" t="e">
        <f>#REF!/1000*1.12</f>
        <v>#REF!</v>
      </c>
      <c r="Q124" s="60" t="e">
        <f>#REF!/1000*1.12</f>
        <v>#REF!</v>
      </c>
      <c r="R124" s="60" t="e">
        <f>#REF!/1000*1.12</f>
        <v>#REF!</v>
      </c>
      <c r="S124" s="60" t="e">
        <f>#REF!/1000*1.12</f>
        <v>#REF!</v>
      </c>
      <c r="T124" s="60" t="e">
        <f>#REF!/1000*1.12</f>
        <v>#REF!</v>
      </c>
      <c r="U124" s="13" t="e">
        <f t="shared" si="30"/>
        <v>#REF!</v>
      </c>
      <c r="V124" s="60"/>
      <c r="W124" s="60">
        <f>21800.43*1.12</f>
        <v>24416.481600000003</v>
      </c>
    </row>
    <row r="125" spans="1:23" s="68" customFormat="1" ht="25.5">
      <c r="A125" s="64" t="s">
        <v>257</v>
      </c>
      <c r="B125" s="112" t="s">
        <v>77</v>
      </c>
      <c r="C125" s="65" t="s">
        <v>126</v>
      </c>
      <c r="D125" s="66"/>
      <c r="E125" s="65"/>
      <c r="F125" s="111"/>
      <c r="G125" s="67"/>
      <c r="H125" s="67">
        <v>24165.84</v>
      </c>
      <c r="I125" s="60" t="e">
        <f>#REF!/1000*1.12</f>
        <v>#REF!</v>
      </c>
      <c r="J125" s="60" t="e">
        <f>#REF!/1000*1.12</f>
        <v>#REF!</v>
      </c>
      <c r="K125" s="60">
        <f>K127</f>
        <v>5971.358399999999</v>
      </c>
      <c r="L125" s="60" t="e">
        <f>#REF!/1000*1.12</f>
        <v>#REF!</v>
      </c>
      <c r="M125" s="60" t="e">
        <f>#REF!/1000*1.12</f>
        <v>#REF!</v>
      </c>
      <c r="N125" s="60" t="e">
        <f>#REF!/1000*1.12</f>
        <v>#REF!</v>
      </c>
      <c r="O125" s="60" t="e">
        <f>#REF!/1000*1.12</f>
        <v>#REF!</v>
      </c>
      <c r="P125" s="60" t="e">
        <f>#REF!/1000*1.12</f>
        <v>#REF!</v>
      </c>
      <c r="Q125" s="60" t="e">
        <f>#REF!/1000*1.12</f>
        <v>#REF!</v>
      </c>
      <c r="R125" s="60" t="e">
        <f>#REF!/1000*1.12</f>
        <v>#REF!</v>
      </c>
      <c r="S125" s="60" t="e">
        <f>#REF!/1000*1.12</f>
        <v>#REF!</v>
      </c>
      <c r="T125" s="60" t="e">
        <f>#REF!/1000*1.12</f>
        <v>#REF!</v>
      </c>
      <c r="U125" s="13" t="e">
        <f t="shared" si="30"/>
        <v>#REF!</v>
      </c>
      <c r="V125" s="60"/>
      <c r="W125" s="60">
        <f>W126+W127</f>
        <v>16466.6336</v>
      </c>
    </row>
    <row r="126" spans="1:23" s="151" customFormat="1" ht="12">
      <c r="A126" s="145"/>
      <c r="B126" s="146" t="s">
        <v>174</v>
      </c>
      <c r="C126" s="147" t="s">
        <v>126</v>
      </c>
      <c r="D126" s="148"/>
      <c r="E126" s="147"/>
      <c r="F126" s="149"/>
      <c r="G126" s="150"/>
      <c r="H126" s="150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50"/>
      <c r="V126" s="117"/>
      <c r="W126" s="117">
        <f>9370.78*1.12</f>
        <v>10495.273600000002</v>
      </c>
    </row>
    <row r="127" spans="1:23" s="68" customFormat="1" ht="15.75">
      <c r="A127" s="64"/>
      <c r="B127" s="146" t="s">
        <v>175</v>
      </c>
      <c r="C127" s="147" t="s">
        <v>126</v>
      </c>
      <c r="D127" s="66"/>
      <c r="E127" s="65"/>
      <c r="F127" s="111"/>
      <c r="G127" s="67"/>
      <c r="H127" s="67"/>
      <c r="I127" s="60"/>
      <c r="J127" s="60"/>
      <c r="K127" s="60">
        <f>(20033.92-9370.78)*1.12*0.5</f>
        <v>5971.358399999999</v>
      </c>
      <c r="L127" s="60"/>
      <c r="M127" s="60"/>
      <c r="N127" s="60"/>
      <c r="O127" s="60"/>
      <c r="P127" s="60"/>
      <c r="Q127" s="60"/>
      <c r="R127" s="60"/>
      <c r="S127" s="60"/>
      <c r="T127" s="60"/>
      <c r="U127" s="13"/>
      <c r="V127" s="60"/>
      <c r="W127" s="60">
        <v>5971.36</v>
      </c>
    </row>
    <row r="128" spans="1:23" s="68" customFormat="1" ht="25.5">
      <c r="A128" s="64" t="s">
        <v>258</v>
      </c>
      <c r="B128" s="112" t="s">
        <v>78</v>
      </c>
      <c r="C128" s="65" t="s">
        <v>126</v>
      </c>
      <c r="D128" s="66"/>
      <c r="E128" s="65"/>
      <c r="F128" s="111"/>
      <c r="G128" s="67"/>
      <c r="H128" s="67">
        <v>496.8</v>
      </c>
      <c r="I128" s="60" t="e">
        <f>#REF!/1000*1.12</f>
        <v>#REF!</v>
      </c>
      <c r="J128" s="60" t="e">
        <f>#REF!/1000*1.12</f>
        <v>#REF!</v>
      </c>
      <c r="K128" s="60" t="e">
        <f>#REF!/1000*1.12</f>
        <v>#REF!</v>
      </c>
      <c r="L128" s="60" t="e">
        <f>#REF!/1000*1.12</f>
        <v>#REF!</v>
      </c>
      <c r="M128" s="60" t="e">
        <f>#REF!/1000*1.12/3</f>
        <v>#REF!</v>
      </c>
      <c r="N128" s="60" t="e">
        <f>#REF!/1000*1.12</f>
        <v>#REF!</v>
      </c>
      <c r="O128" s="60" t="e">
        <f>#REF!/1000*1.12</f>
        <v>#REF!</v>
      </c>
      <c r="P128" s="60" t="e">
        <f>#REF!/1000*1.12</f>
        <v>#REF!</v>
      </c>
      <c r="Q128" s="60" t="e">
        <f>#REF!/1000*1.12</f>
        <v>#REF!</v>
      </c>
      <c r="R128" s="60" t="e">
        <f>#REF!/1000*1.12</f>
        <v>#REF!</v>
      </c>
      <c r="S128" s="60" t="e">
        <f>#REF!/1000*1.12</f>
        <v>#REF!</v>
      </c>
      <c r="T128" s="60" t="e">
        <f>#REF!/1000*1.12</f>
        <v>#REF!</v>
      </c>
      <c r="U128" s="13" t="e">
        <f t="shared" si="30"/>
        <v>#REF!</v>
      </c>
      <c r="V128" s="60"/>
      <c r="W128" s="60"/>
    </row>
    <row r="129" spans="1:23" s="68" customFormat="1" ht="25.5">
      <c r="A129" s="64" t="s">
        <v>259</v>
      </c>
      <c r="B129" s="112" t="s">
        <v>82</v>
      </c>
      <c r="C129" s="65" t="s">
        <v>126</v>
      </c>
      <c r="D129" s="66"/>
      <c r="E129" s="65"/>
      <c r="F129" s="111"/>
      <c r="G129" s="67"/>
      <c r="H129" s="67">
        <v>775.32</v>
      </c>
      <c r="I129" s="60" t="e">
        <f>#REF!/1000*1.12</f>
        <v>#REF!</v>
      </c>
      <c r="J129" s="60" t="e">
        <f>#REF!/1000*1.12</f>
        <v>#REF!</v>
      </c>
      <c r="K129" s="60" t="e">
        <f>#REF!/1000*1.12</f>
        <v>#REF!</v>
      </c>
      <c r="L129" s="60" t="e">
        <f>#REF!/1000*1.12</f>
        <v>#REF!</v>
      </c>
      <c r="M129" s="60" t="e">
        <f>#REF!/1000*1.12</f>
        <v>#REF!</v>
      </c>
      <c r="N129" s="60" t="e">
        <f>#REF!/1000*1.12</f>
        <v>#REF!</v>
      </c>
      <c r="O129" s="60" t="e">
        <f>#REF!/1000*1.12</f>
        <v>#REF!</v>
      </c>
      <c r="P129" s="60" t="e">
        <f>#REF!/1000*1.12</f>
        <v>#REF!</v>
      </c>
      <c r="Q129" s="60" t="e">
        <f>#REF!/1000*1.12</f>
        <v>#REF!</v>
      </c>
      <c r="R129" s="60" t="e">
        <f>#REF!/1000*1.12</f>
        <v>#REF!</v>
      </c>
      <c r="S129" s="60" t="e">
        <f>#REF!/1000*1.12</f>
        <v>#REF!</v>
      </c>
      <c r="T129" s="60" t="e">
        <f>#REF!/1000*1.12</f>
        <v>#REF!</v>
      </c>
      <c r="U129" s="13" t="e">
        <f aca="true" t="shared" si="31" ref="U129:U138">SUM(I129:T129)</f>
        <v>#REF!</v>
      </c>
      <c r="V129" s="60"/>
      <c r="W129" s="60"/>
    </row>
    <row r="130" spans="1:23" s="68" customFormat="1" ht="38.25">
      <c r="A130" s="64" t="s">
        <v>88</v>
      </c>
      <c r="B130" s="112" t="s">
        <v>250</v>
      </c>
      <c r="C130" s="65" t="s">
        <v>126</v>
      </c>
      <c r="D130" s="66"/>
      <c r="E130" s="65"/>
      <c r="F130" s="111"/>
      <c r="G130" s="67"/>
      <c r="H130" s="67"/>
      <c r="I130" s="60" t="e">
        <f>#REF!/1000*1.12</f>
        <v>#REF!</v>
      </c>
      <c r="J130" s="60" t="e">
        <f>#REF!/1000*1.12*0.5</f>
        <v>#REF!</v>
      </c>
      <c r="K130" s="60" t="e">
        <f>#REF!/1000*1.12</f>
        <v>#REF!</v>
      </c>
      <c r="L130" s="60" t="e">
        <f>#REF!/1000*1.12</f>
        <v>#REF!</v>
      </c>
      <c r="M130" s="60" t="e">
        <f>#REF!/1000*1.12</f>
        <v>#REF!</v>
      </c>
      <c r="N130" s="60" t="e">
        <f>#REF!/1000*1.12</f>
        <v>#REF!</v>
      </c>
      <c r="O130" s="60" t="e">
        <f>#REF!/1000*1.12</f>
        <v>#REF!</v>
      </c>
      <c r="P130" s="60" t="e">
        <f>#REF!/1000*1.12</f>
        <v>#REF!</v>
      </c>
      <c r="Q130" s="60" t="e">
        <f>#REF!/1000*1.12</f>
        <v>#REF!</v>
      </c>
      <c r="R130" s="60" t="e">
        <f>#REF!/1000*1.12</f>
        <v>#REF!</v>
      </c>
      <c r="S130" s="60" t="e">
        <f>#REF!/1000*1.12</f>
        <v>#REF!</v>
      </c>
      <c r="T130" s="60" t="e">
        <f>J130</f>
        <v>#REF!</v>
      </c>
      <c r="U130" s="13" t="e">
        <f t="shared" si="31"/>
        <v>#REF!</v>
      </c>
      <c r="V130" s="60"/>
      <c r="W130" s="60"/>
    </row>
    <row r="131" spans="1:23" s="68" customFormat="1" ht="38.25">
      <c r="A131" s="64" t="s">
        <v>89</v>
      </c>
      <c r="B131" s="112" t="s">
        <v>251</v>
      </c>
      <c r="C131" s="65" t="s">
        <v>126</v>
      </c>
      <c r="D131" s="66"/>
      <c r="E131" s="65"/>
      <c r="F131" s="111"/>
      <c r="G131" s="67"/>
      <c r="H131" s="67"/>
      <c r="I131" s="60" t="e">
        <f>#REF!/1000*1.12</f>
        <v>#REF!</v>
      </c>
      <c r="J131" s="60" t="e">
        <f>#REF!/1000*1.12*0.5</f>
        <v>#REF!</v>
      </c>
      <c r="K131" s="60" t="e">
        <f>#REF!/1000*1.12</f>
        <v>#REF!</v>
      </c>
      <c r="L131" s="60" t="e">
        <f>#REF!/1000*1.12</f>
        <v>#REF!</v>
      </c>
      <c r="M131" s="60" t="e">
        <f>#REF!/1000*1.12</f>
        <v>#REF!</v>
      </c>
      <c r="N131" s="60" t="e">
        <f>#REF!/1000*1.12</f>
        <v>#REF!</v>
      </c>
      <c r="O131" s="60" t="e">
        <f>#REF!/1000*1.12</f>
        <v>#REF!</v>
      </c>
      <c r="P131" s="60" t="e">
        <f>#REF!/1000*1.12</f>
        <v>#REF!</v>
      </c>
      <c r="Q131" s="60" t="e">
        <f>#REF!/1000*1.12</f>
        <v>#REF!</v>
      </c>
      <c r="R131" s="60" t="e">
        <f>#REF!/1000*1.12</f>
        <v>#REF!</v>
      </c>
      <c r="S131" s="60" t="e">
        <f>#REF!/1000*1.12</f>
        <v>#REF!</v>
      </c>
      <c r="T131" s="60" t="e">
        <f>J131</f>
        <v>#REF!</v>
      </c>
      <c r="U131" s="13" t="e">
        <f t="shared" si="31"/>
        <v>#REF!</v>
      </c>
      <c r="V131" s="60"/>
      <c r="W131" s="60"/>
    </row>
    <row r="132" spans="1:23" s="68" customFormat="1" ht="38.25">
      <c r="A132" s="64" t="s">
        <v>90</v>
      </c>
      <c r="B132" s="112" t="s">
        <v>195</v>
      </c>
      <c r="C132" s="65" t="s">
        <v>126</v>
      </c>
      <c r="D132" s="66"/>
      <c r="E132" s="65"/>
      <c r="F132" s="111"/>
      <c r="G132" s="67"/>
      <c r="H132" s="67"/>
      <c r="I132" s="60" t="e">
        <f>#REF!/1000*1.12</f>
        <v>#REF!</v>
      </c>
      <c r="J132" s="60" t="e">
        <f>#REF!/1000*1.12*0.5</f>
        <v>#REF!</v>
      </c>
      <c r="K132" s="60" t="e">
        <f>#REF!/1000*1.12</f>
        <v>#REF!</v>
      </c>
      <c r="L132" s="60" t="e">
        <f>#REF!/1000*1.12</f>
        <v>#REF!</v>
      </c>
      <c r="M132" s="60" t="e">
        <f>#REF!/1000*1.12</f>
        <v>#REF!</v>
      </c>
      <c r="N132" s="60" t="e">
        <f>#REF!/1000*1.12</f>
        <v>#REF!</v>
      </c>
      <c r="O132" s="60" t="e">
        <f>#REF!/1000*1.12</f>
        <v>#REF!</v>
      </c>
      <c r="P132" s="60" t="e">
        <f>#REF!/1000*1.12</f>
        <v>#REF!</v>
      </c>
      <c r="Q132" s="60" t="e">
        <f>#REF!/1000*1.12</f>
        <v>#REF!</v>
      </c>
      <c r="R132" s="60" t="e">
        <f>#REF!/1000*1.12</f>
        <v>#REF!</v>
      </c>
      <c r="S132" s="60" t="e">
        <f>#REF!/1000*1.12</f>
        <v>#REF!</v>
      </c>
      <c r="T132" s="60" t="e">
        <f>J132</f>
        <v>#REF!</v>
      </c>
      <c r="U132" s="13" t="e">
        <f t="shared" si="31"/>
        <v>#REF!</v>
      </c>
      <c r="V132" s="60"/>
      <c r="W132" s="60"/>
    </row>
    <row r="133" spans="1:23" s="68" customFormat="1" ht="15.75">
      <c r="A133" s="64" t="s">
        <v>91</v>
      </c>
      <c r="B133" s="112" t="s">
        <v>252</v>
      </c>
      <c r="C133" s="65" t="s">
        <v>126</v>
      </c>
      <c r="D133" s="66"/>
      <c r="E133" s="65"/>
      <c r="F133" s="111"/>
      <c r="G133" s="67"/>
      <c r="H133" s="67"/>
      <c r="I133" s="60" t="e">
        <f>#REF!/1000*1.12</f>
        <v>#REF!</v>
      </c>
      <c r="J133" s="60" t="e">
        <f>#REF!/1000*1.12</f>
        <v>#REF!</v>
      </c>
      <c r="K133" s="60" t="e">
        <f>#REF!/1000*1.12</f>
        <v>#REF!</v>
      </c>
      <c r="L133" s="60" t="e">
        <f>#REF!/1000*1.12</f>
        <v>#REF!</v>
      </c>
      <c r="M133" s="60" t="e">
        <f>#REF!/1000*1.12</f>
        <v>#REF!</v>
      </c>
      <c r="N133" s="60" t="e">
        <f>#REF!/1000*1.12</f>
        <v>#REF!</v>
      </c>
      <c r="O133" s="60" t="e">
        <f>#REF!/1000*1.12</f>
        <v>#REF!</v>
      </c>
      <c r="P133" s="60" t="e">
        <f>#REF!/1000*1.12</f>
        <v>#REF!</v>
      </c>
      <c r="Q133" s="60" t="e">
        <f>#REF!/1000*1.12</f>
        <v>#REF!</v>
      </c>
      <c r="R133" s="60" t="e">
        <f>#REF!/1000*1.12</f>
        <v>#REF!</v>
      </c>
      <c r="S133" s="60" t="e">
        <f>#REF!/1000*1.12</f>
        <v>#REF!</v>
      </c>
      <c r="T133" s="60" t="e">
        <f>#REF!/1000*1.12</f>
        <v>#REF!</v>
      </c>
      <c r="U133" s="13" t="e">
        <f t="shared" si="31"/>
        <v>#REF!</v>
      </c>
      <c r="V133" s="60"/>
      <c r="W133" s="60"/>
    </row>
    <row r="134" spans="1:23" s="68" customFormat="1" ht="15.75">
      <c r="A134" s="64" t="s">
        <v>92</v>
      </c>
      <c r="B134" s="112" t="s">
        <v>161</v>
      </c>
      <c r="C134" s="65" t="s">
        <v>126</v>
      </c>
      <c r="D134" s="66"/>
      <c r="E134" s="65"/>
      <c r="F134" s="111"/>
      <c r="G134" s="67"/>
      <c r="H134" s="67"/>
      <c r="I134" s="60" t="e">
        <f>#REF!/1000*1.12</f>
        <v>#REF!</v>
      </c>
      <c r="J134" s="60" t="e">
        <f>#REF!/1000*1.12</f>
        <v>#REF!</v>
      </c>
      <c r="K134" s="60" t="e">
        <f>#REF!/1000*1.12</f>
        <v>#REF!</v>
      </c>
      <c r="L134" s="60" t="e">
        <f>#REF!/1000*1.12</f>
        <v>#REF!</v>
      </c>
      <c r="M134" s="60" t="e">
        <f>#REF!/1000*1.12</f>
        <v>#REF!</v>
      </c>
      <c r="N134" s="60" t="e">
        <f>#REF!/1000*1.12</f>
        <v>#REF!</v>
      </c>
      <c r="O134" s="60" t="e">
        <f>#REF!/1000*1.12</f>
        <v>#REF!</v>
      </c>
      <c r="P134" s="60" t="e">
        <f>#REF!/1000*1.12</f>
        <v>#REF!</v>
      </c>
      <c r="Q134" s="60" t="e">
        <f>#REF!/1000*1.12</f>
        <v>#REF!</v>
      </c>
      <c r="R134" s="60" t="e">
        <f>#REF!/1000*1.12</f>
        <v>#REF!</v>
      </c>
      <c r="S134" s="60" t="e">
        <f>#REF!/1000*1.12</f>
        <v>#REF!</v>
      </c>
      <c r="T134" s="60" t="e">
        <f>#REF!/1000*1.12</f>
        <v>#REF!</v>
      </c>
      <c r="U134" s="13" t="e">
        <f t="shared" si="31"/>
        <v>#REF!</v>
      </c>
      <c r="V134" s="60"/>
      <c r="W134" s="60"/>
    </row>
    <row r="135" spans="1:23" s="68" customFormat="1" ht="25.5">
      <c r="A135" s="64" t="s">
        <v>93</v>
      </c>
      <c r="B135" s="112" t="s">
        <v>162</v>
      </c>
      <c r="C135" s="65" t="s">
        <v>126</v>
      </c>
      <c r="D135" s="66"/>
      <c r="E135" s="65"/>
      <c r="F135" s="111"/>
      <c r="G135" s="67"/>
      <c r="H135" s="67"/>
      <c r="I135" s="60" t="e">
        <f>#REF!/1000*1.12</f>
        <v>#REF!</v>
      </c>
      <c r="J135" s="60" t="e">
        <f>#REF!/1000*1.12</f>
        <v>#REF!</v>
      </c>
      <c r="K135" s="60" t="e">
        <f>#REF!/1000*1.12</f>
        <v>#REF!</v>
      </c>
      <c r="L135" s="60" t="e">
        <f>#REF!/1000*1.12</f>
        <v>#REF!</v>
      </c>
      <c r="M135" s="60" t="e">
        <f>#REF!/1000*1.12</f>
        <v>#REF!</v>
      </c>
      <c r="N135" s="60" t="e">
        <f>#REF!/1000*1.12</f>
        <v>#REF!</v>
      </c>
      <c r="O135" s="60" t="e">
        <f>#REF!/1000*1.12</f>
        <v>#REF!</v>
      </c>
      <c r="P135" s="60" t="e">
        <f>#REF!/1000*1.12</f>
        <v>#REF!</v>
      </c>
      <c r="Q135" s="60" t="e">
        <f>#REF!/1000*1.12</f>
        <v>#REF!</v>
      </c>
      <c r="R135" s="60" t="e">
        <f>#REF!/1000*1.12</f>
        <v>#REF!</v>
      </c>
      <c r="S135" s="60" t="e">
        <f>#REF!/1000*1.12</f>
        <v>#REF!</v>
      </c>
      <c r="T135" s="60" t="e">
        <f>#REF!/1000*1.12</f>
        <v>#REF!</v>
      </c>
      <c r="U135" s="13" t="e">
        <f t="shared" si="31"/>
        <v>#REF!</v>
      </c>
      <c r="V135" s="60"/>
      <c r="W135" s="60"/>
    </row>
    <row r="136" spans="1:23" s="68" customFormat="1" ht="15.75">
      <c r="A136" s="64" t="s">
        <v>94</v>
      </c>
      <c r="B136" s="112" t="s">
        <v>163</v>
      </c>
      <c r="C136" s="65" t="s">
        <v>126</v>
      </c>
      <c r="D136" s="66"/>
      <c r="E136" s="65"/>
      <c r="F136" s="111"/>
      <c r="G136" s="67"/>
      <c r="H136" s="67"/>
      <c r="I136" s="60" t="e">
        <f>#REF!/1000*1.12</f>
        <v>#REF!</v>
      </c>
      <c r="J136" s="60" t="e">
        <f>#REF!/1000*1.12</f>
        <v>#REF!</v>
      </c>
      <c r="K136" s="60" t="e">
        <f>#REF!/1000*1.12</f>
        <v>#REF!</v>
      </c>
      <c r="L136" s="60" t="e">
        <f>#REF!/1000*1.12</f>
        <v>#REF!</v>
      </c>
      <c r="M136" s="60" t="e">
        <f>#REF!/1000*1.12</f>
        <v>#REF!</v>
      </c>
      <c r="N136" s="60" t="e">
        <f>#REF!/1000*1.12</f>
        <v>#REF!</v>
      </c>
      <c r="O136" s="60" t="e">
        <f>#REF!/1000*1.12</f>
        <v>#REF!</v>
      </c>
      <c r="P136" s="60" t="e">
        <f>#REF!/1000*1.12</f>
        <v>#REF!</v>
      </c>
      <c r="Q136" s="60" t="e">
        <f>#REF!/1000*1.12</f>
        <v>#REF!</v>
      </c>
      <c r="R136" s="60" t="e">
        <f>#REF!/1000*1.12</f>
        <v>#REF!</v>
      </c>
      <c r="S136" s="60" t="e">
        <f>#REF!/1000*1.12</f>
        <v>#REF!</v>
      </c>
      <c r="T136" s="60" t="e">
        <f>#REF!/1000*1.12</f>
        <v>#REF!</v>
      </c>
      <c r="U136" s="13" t="e">
        <f t="shared" si="31"/>
        <v>#REF!</v>
      </c>
      <c r="V136" s="60"/>
      <c r="W136" s="60"/>
    </row>
    <row r="137" spans="1:23" s="68" customFormat="1" ht="25.5">
      <c r="A137" s="64" t="s">
        <v>95</v>
      </c>
      <c r="B137" s="112" t="s">
        <v>44</v>
      </c>
      <c r="C137" s="65" t="s">
        <v>126</v>
      </c>
      <c r="D137" s="66"/>
      <c r="E137" s="65"/>
      <c r="F137" s="111"/>
      <c r="G137" s="67"/>
      <c r="H137" s="67"/>
      <c r="I137" s="60" t="e">
        <f>#REF!/1000*1.12</f>
        <v>#REF!</v>
      </c>
      <c r="J137" s="60" t="e">
        <f>#REF!/1000*1.12</f>
        <v>#REF!</v>
      </c>
      <c r="K137" s="60" t="e">
        <f>#REF!/1000*1.12</f>
        <v>#REF!</v>
      </c>
      <c r="L137" s="60" t="e">
        <f>#REF!/1000*1.12</f>
        <v>#REF!</v>
      </c>
      <c r="M137" s="60" t="e">
        <f>#REF!/1000*1.12</f>
        <v>#REF!</v>
      </c>
      <c r="N137" s="60" t="e">
        <f>#REF!/1000*1.12</f>
        <v>#REF!</v>
      </c>
      <c r="O137" s="60" t="e">
        <f>#REF!/1000*1.12</f>
        <v>#REF!</v>
      </c>
      <c r="P137" s="60" t="e">
        <f>#REF!/1000*1.12</f>
        <v>#REF!</v>
      </c>
      <c r="Q137" s="60" t="e">
        <f>#REF!/1000*1.12</f>
        <v>#REF!</v>
      </c>
      <c r="R137" s="60" t="e">
        <f>#REF!/1000*1.12</f>
        <v>#REF!</v>
      </c>
      <c r="S137" s="60" t="e">
        <f>#REF!/1000*1.12</f>
        <v>#REF!</v>
      </c>
      <c r="T137" s="60" t="e">
        <f>#REF!/1000*1.12</f>
        <v>#REF!</v>
      </c>
      <c r="U137" s="13" t="e">
        <f t="shared" si="31"/>
        <v>#REF!</v>
      </c>
      <c r="V137" s="60"/>
      <c r="W137" s="60"/>
    </row>
    <row r="138" spans="1:23" s="68" customFormat="1" ht="15.75">
      <c r="A138" s="64" t="s">
        <v>96</v>
      </c>
      <c r="B138" s="112" t="s">
        <v>45</v>
      </c>
      <c r="C138" s="65" t="s">
        <v>126</v>
      </c>
      <c r="D138" s="66"/>
      <c r="E138" s="65"/>
      <c r="F138" s="111"/>
      <c r="G138" s="67"/>
      <c r="H138" s="67"/>
      <c r="I138" s="60" t="e">
        <f>#REF!/1000*1.12</f>
        <v>#REF!</v>
      </c>
      <c r="J138" s="60" t="e">
        <f>#REF!/1000*1.12</f>
        <v>#REF!</v>
      </c>
      <c r="K138" s="60" t="e">
        <f>#REF!/1000*1.12</f>
        <v>#REF!</v>
      </c>
      <c r="L138" s="60" t="e">
        <f>#REF!/1000*1.12</f>
        <v>#REF!</v>
      </c>
      <c r="M138" s="60" t="e">
        <f>#REF!/1000*1.12</f>
        <v>#REF!</v>
      </c>
      <c r="N138" s="60" t="e">
        <f>#REF!/1000*1.12</f>
        <v>#REF!</v>
      </c>
      <c r="O138" s="60" t="e">
        <f>#REF!/1000*1.12</f>
        <v>#REF!</v>
      </c>
      <c r="P138" s="60" t="e">
        <f>#REF!/1000*1.12</f>
        <v>#REF!</v>
      </c>
      <c r="Q138" s="60" t="e">
        <f>#REF!/1000*1.12</f>
        <v>#REF!</v>
      </c>
      <c r="R138" s="60" t="e">
        <f>#REF!/1000*1.12</f>
        <v>#REF!</v>
      </c>
      <c r="S138" s="60" t="e">
        <f>#REF!/1000*1.12</f>
        <v>#REF!</v>
      </c>
      <c r="T138" s="60" t="e">
        <f>#REF!/1000*1.12</f>
        <v>#REF!</v>
      </c>
      <c r="U138" s="13" t="e">
        <f t="shared" si="31"/>
        <v>#REF!</v>
      </c>
      <c r="V138" s="60"/>
      <c r="W138" s="60"/>
    </row>
    <row r="139" spans="1:23" ht="15.75">
      <c r="A139" s="36" t="s">
        <v>155</v>
      </c>
      <c r="B139" s="48" t="s">
        <v>229</v>
      </c>
      <c r="C139" s="9" t="s">
        <v>126</v>
      </c>
      <c r="D139" s="45"/>
      <c r="E139" s="19"/>
      <c r="F139" s="8"/>
      <c r="G139" s="13"/>
      <c r="H139" s="13">
        <v>3546.2112</v>
      </c>
      <c r="I139" s="15" t="e">
        <f>#REF!*1.12</f>
        <v>#REF!</v>
      </c>
      <c r="J139" s="15" t="e">
        <f>#REF!*1.12</f>
        <v>#REF!</v>
      </c>
      <c r="K139" s="15" t="e">
        <f>#REF!*1.12</f>
        <v>#REF!</v>
      </c>
      <c r="L139" s="15" t="e">
        <f>#REF!*1.12</f>
        <v>#REF!</v>
      </c>
      <c r="M139" s="15" t="e">
        <f>#REF!*1.12</f>
        <v>#REF!</v>
      </c>
      <c r="N139" s="15" t="e">
        <f>#REF!*1.12</f>
        <v>#REF!</v>
      </c>
      <c r="O139" s="15" t="e">
        <f>#REF!*1.12</f>
        <v>#REF!</v>
      </c>
      <c r="P139" s="15" t="e">
        <f>#REF!*1.12</f>
        <v>#REF!</v>
      </c>
      <c r="Q139" s="15" t="e">
        <f>#REF!*1.12</f>
        <v>#REF!</v>
      </c>
      <c r="R139" s="15" t="e">
        <f>#REF!*1.12</f>
        <v>#REF!</v>
      </c>
      <c r="S139" s="15" t="e">
        <f>#REF!*1.12</f>
        <v>#REF!</v>
      </c>
      <c r="T139" s="15" t="e">
        <f>#REF!*1.12</f>
        <v>#REF!</v>
      </c>
      <c r="U139" s="13" t="e">
        <f aca="true" t="shared" si="32" ref="U139:U153">SUM(I139:T139)</f>
        <v>#REF!</v>
      </c>
      <c r="V139" s="15"/>
      <c r="W139" s="15"/>
    </row>
    <row r="140" spans="1:23" ht="15.75">
      <c r="A140" s="36" t="s">
        <v>206</v>
      </c>
      <c r="B140" s="48" t="s">
        <v>207</v>
      </c>
      <c r="C140" s="9" t="s">
        <v>126</v>
      </c>
      <c r="D140" s="45"/>
      <c r="E140" s="19"/>
      <c r="F140" s="8"/>
      <c r="G140" s="13"/>
      <c r="H140" s="13">
        <v>43.68</v>
      </c>
      <c r="I140" s="15" t="e">
        <f>#REF!*1.12</f>
        <v>#REF!</v>
      </c>
      <c r="J140" s="15" t="e">
        <f>#REF!*1.12</f>
        <v>#REF!</v>
      </c>
      <c r="K140" s="15" t="e">
        <f>#REF!*1.12</f>
        <v>#REF!</v>
      </c>
      <c r="L140" s="15" t="e">
        <f>#REF!*1.12</f>
        <v>#REF!</v>
      </c>
      <c r="M140" s="15" t="e">
        <f>#REF!*1.12</f>
        <v>#REF!</v>
      </c>
      <c r="N140" s="15" t="e">
        <f>#REF!*1.12</f>
        <v>#REF!</v>
      </c>
      <c r="O140" s="15" t="e">
        <f>#REF!*1.12</f>
        <v>#REF!</v>
      </c>
      <c r="P140" s="15" t="e">
        <f>#REF!*1.12</f>
        <v>#REF!</v>
      </c>
      <c r="Q140" s="15" t="e">
        <f>#REF!*1.12</f>
        <v>#REF!</v>
      </c>
      <c r="R140" s="15" t="e">
        <f>#REF!*1.12</f>
        <v>#REF!</v>
      </c>
      <c r="S140" s="15" t="e">
        <f>#REF!*1.12</f>
        <v>#REF!</v>
      </c>
      <c r="T140" s="15" t="e">
        <f>#REF!*1.12</f>
        <v>#REF!</v>
      </c>
      <c r="U140" s="13" t="e">
        <f t="shared" si="32"/>
        <v>#REF!</v>
      </c>
      <c r="V140" s="15"/>
      <c r="W140" s="15"/>
    </row>
    <row r="141" spans="1:23" ht="15.75">
      <c r="A141" s="36" t="s">
        <v>216</v>
      </c>
      <c r="B141" s="70" t="s">
        <v>79</v>
      </c>
      <c r="C141" s="9" t="s">
        <v>126</v>
      </c>
      <c r="D141" s="45"/>
      <c r="E141" s="19"/>
      <c r="F141" s="13"/>
      <c r="G141" s="13"/>
      <c r="H141" s="13"/>
      <c r="I141" s="13" t="e">
        <f>#REF!*1.12</f>
        <v>#REF!</v>
      </c>
      <c r="J141" s="13" t="e">
        <f>#REF!*1.12</f>
        <v>#REF!</v>
      </c>
      <c r="K141" s="13" t="e">
        <f>#REF!*1.12</f>
        <v>#REF!</v>
      </c>
      <c r="L141" s="13" t="e">
        <f>#REF!*1.12</f>
        <v>#REF!</v>
      </c>
      <c r="M141" s="13" t="e">
        <f>#REF!*1.12</f>
        <v>#REF!</v>
      </c>
      <c r="N141" s="13" t="e">
        <f>#REF!*1.12</f>
        <v>#REF!</v>
      </c>
      <c r="O141" s="13" t="e">
        <f>#REF!*1.12</f>
        <v>#REF!</v>
      </c>
      <c r="P141" s="13" t="e">
        <f>#REF!*1.12</f>
        <v>#REF!</v>
      </c>
      <c r="Q141" s="13" t="e">
        <f>#REF!*1.12</f>
        <v>#REF!</v>
      </c>
      <c r="R141" s="13" t="e">
        <f>#REF!*1.12</f>
        <v>#REF!</v>
      </c>
      <c r="S141" s="13" t="e">
        <f>#REF!*1.12</f>
        <v>#REF!</v>
      </c>
      <c r="T141" s="13" t="e">
        <f>#REF!*1.12</f>
        <v>#REF!</v>
      </c>
      <c r="U141" s="13" t="e">
        <f t="shared" si="32"/>
        <v>#REF!</v>
      </c>
      <c r="V141" s="15"/>
      <c r="W141" s="15"/>
    </row>
    <row r="142" spans="1:23" ht="15.75">
      <c r="A142" s="36" t="s">
        <v>221</v>
      </c>
      <c r="B142" s="70" t="s">
        <v>84</v>
      </c>
      <c r="C142" s="9" t="s">
        <v>126</v>
      </c>
      <c r="D142" s="45"/>
      <c r="E142" s="19"/>
      <c r="F142" s="8"/>
      <c r="G142" s="13"/>
      <c r="H142" s="13"/>
      <c r="I142" s="13" t="e">
        <f>#REF!*1.12</f>
        <v>#REF!</v>
      </c>
      <c r="J142" s="13" t="e">
        <f>#REF!*1.12</f>
        <v>#REF!</v>
      </c>
      <c r="K142" s="13" t="e">
        <f>#REF!*1.12</f>
        <v>#REF!</v>
      </c>
      <c r="L142" s="13" t="e">
        <f>#REF!*1.12</f>
        <v>#REF!</v>
      </c>
      <c r="M142" s="13" t="e">
        <f>#REF!*1.12</f>
        <v>#REF!</v>
      </c>
      <c r="N142" s="13" t="e">
        <f>#REF!*1.12</f>
        <v>#REF!</v>
      </c>
      <c r="O142" s="13" t="e">
        <f>#REF!*1.12</f>
        <v>#REF!</v>
      </c>
      <c r="P142" s="13" t="e">
        <f>#REF!*1.12</f>
        <v>#REF!</v>
      </c>
      <c r="Q142" s="13" t="e">
        <f>#REF!*1.12</f>
        <v>#REF!</v>
      </c>
      <c r="R142" s="13" t="e">
        <f>#REF!*1.12</f>
        <v>#REF!</v>
      </c>
      <c r="S142" s="13" t="e">
        <f>#REF!*1.12</f>
        <v>#REF!</v>
      </c>
      <c r="T142" s="13" t="e">
        <f>#REF!*1.12</f>
        <v>#REF!</v>
      </c>
      <c r="U142" s="13" t="e">
        <f t="shared" si="32"/>
        <v>#REF!</v>
      </c>
      <c r="V142" s="15"/>
      <c r="W142" s="15"/>
    </row>
    <row r="143" spans="1:23" ht="31.5">
      <c r="A143" s="36" t="s">
        <v>223</v>
      </c>
      <c r="B143" s="70" t="s">
        <v>196</v>
      </c>
      <c r="C143" s="9" t="s">
        <v>126</v>
      </c>
      <c r="D143" s="45"/>
      <c r="E143" s="19"/>
      <c r="F143" s="8"/>
      <c r="G143" s="13"/>
      <c r="H143" s="13"/>
      <c r="I143" s="13" t="e">
        <f>#REF!*1.12</f>
        <v>#REF!</v>
      </c>
      <c r="J143" s="13" t="e">
        <f>#REF!*1.12</f>
        <v>#REF!</v>
      </c>
      <c r="K143" s="13" t="e">
        <f>#REF!*1.12</f>
        <v>#REF!</v>
      </c>
      <c r="L143" s="13" t="e">
        <f>#REF!*1.12</f>
        <v>#REF!</v>
      </c>
      <c r="M143" s="13" t="e">
        <f>#REF!*1.12</f>
        <v>#REF!</v>
      </c>
      <c r="N143" s="13" t="e">
        <f>#REF!*1.12</f>
        <v>#REF!</v>
      </c>
      <c r="O143" s="13" t="e">
        <f>#REF!*1.12</f>
        <v>#REF!</v>
      </c>
      <c r="P143" s="13" t="e">
        <f>#REF!*1.12</f>
        <v>#REF!</v>
      </c>
      <c r="Q143" s="13" t="e">
        <f>#REF!*1.12</f>
        <v>#REF!</v>
      </c>
      <c r="R143" s="13" t="e">
        <f>#REF!*1.12</f>
        <v>#REF!</v>
      </c>
      <c r="S143" s="13" t="e">
        <f>#REF!*1.12</f>
        <v>#REF!</v>
      </c>
      <c r="T143" s="13" t="e">
        <f>#REF!*1.12</f>
        <v>#REF!</v>
      </c>
      <c r="U143" s="13" t="e">
        <f>SUM(I143:T143)</f>
        <v>#REF!</v>
      </c>
      <c r="V143" s="15"/>
      <c r="W143" s="15"/>
    </row>
    <row r="144" spans="1:23" ht="15.75">
      <c r="A144" s="36" t="s">
        <v>225</v>
      </c>
      <c r="B144" s="70" t="s">
        <v>197</v>
      </c>
      <c r="C144" s="9" t="s">
        <v>126</v>
      </c>
      <c r="D144" s="45"/>
      <c r="E144" s="19"/>
      <c r="F144" s="8"/>
      <c r="G144" s="13"/>
      <c r="H144" s="13"/>
      <c r="I144" s="13" t="e">
        <f>#REF!*1.12</f>
        <v>#REF!</v>
      </c>
      <c r="J144" s="13" t="e">
        <f>#REF!*1.12</f>
        <v>#REF!</v>
      </c>
      <c r="K144" s="13" t="e">
        <f>#REF!*1.12</f>
        <v>#REF!</v>
      </c>
      <c r="L144" s="13" t="e">
        <f>#REF!*1.12</f>
        <v>#REF!</v>
      </c>
      <c r="M144" s="13" t="e">
        <f>#REF!*1.12</f>
        <v>#REF!</v>
      </c>
      <c r="N144" s="13" t="e">
        <f>#REF!*1.12</f>
        <v>#REF!</v>
      </c>
      <c r="O144" s="13" t="e">
        <f>#REF!*1.12</f>
        <v>#REF!</v>
      </c>
      <c r="P144" s="13" t="e">
        <f>#REF!*1.12</f>
        <v>#REF!</v>
      </c>
      <c r="Q144" s="13" t="e">
        <f>#REF!*1.12</f>
        <v>#REF!</v>
      </c>
      <c r="R144" s="13" t="e">
        <f>#REF!*1.12</f>
        <v>#REF!</v>
      </c>
      <c r="S144" s="13" t="e">
        <f>#REF!*1.12</f>
        <v>#REF!</v>
      </c>
      <c r="T144" s="13" t="e">
        <f>#REF!*1.12</f>
        <v>#REF!</v>
      </c>
      <c r="U144" s="13" t="e">
        <f>SUM(I144:T144)</f>
        <v>#REF!</v>
      </c>
      <c r="V144" s="15"/>
      <c r="W144" s="15"/>
    </row>
    <row r="145" spans="1:23" ht="15.75">
      <c r="A145" s="36" t="s">
        <v>122</v>
      </c>
      <c r="B145" s="70" t="s">
        <v>198</v>
      </c>
      <c r="C145" s="9" t="s">
        <v>126</v>
      </c>
      <c r="D145" s="45"/>
      <c r="E145" s="19"/>
      <c r="F145" s="8"/>
      <c r="G145" s="13">
        <v>1240.43</v>
      </c>
      <c r="H145" s="13">
        <v>1240.43</v>
      </c>
      <c r="I145" s="13"/>
      <c r="J145" s="13">
        <f>I145</f>
        <v>0</v>
      </c>
      <c r="K145" s="13" t="e">
        <f>#REF!*1.12</f>
        <v>#REF!</v>
      </c>
      <c r="L145" s="13" t="e">
        <f>#REF!*1.12</f>
        <v>#REF!</v>
      </c>
      <c r="M145" s="13" t="e">
        <f>#REF!*1.12</f>
        <v>#REF!</v>
      </c>
      <c r="N145" s="13" t="e">
        <f>#REF!*1.12</f>
        <v>#REF!</v>
      </c>
      <c r="O145" s="13" t="e">
        <f>#REF!*1.12</f>
        <v>#REF!</v>
      </c>
      <c r="P145" s="13" t="e">
        <f>#REF!*1.12</f>
        <v>#REF!</v>
      </c>
      <c r="Q145" s="13" t="e">
        <f>#REF!*1.12</f>
        <v>#REF!</v>
      </c>
      <c r="R145" s="13" t="e">
        <f>#REF!*1.12</f>
        <v>#REF!</v>
      </c>
      <c r="S145" s="13" t="e">
        <f>#REF!*1.12</f>
        <v>#REF!</v>
      </c>
      <c r="T145" s="13" t="e">
        <f>#REF!*1.12</f>
        <v>#REF!</v>
      </c>
      <c r="U145" s="13" t="e">
        <f>SUM(I145:T145)</f>
        <v>#REF!</v>
      </c>
      <c r="V145" s="15"/>
      <c r="W145" s="15"/>
    </row>
    <row r="146" spans="1:23" ht="15.75">
      <c r="A146" s="36" t="s">
        <v>123</v>
      </c>
      <c r="B146" s="70" t="s">
        <v>73</v>
      </c>
      <c r="C146" s="9" t="s">
        <v>126</v>
      </c>
      <c r="D146" s="45"/>
      <c r="E146" s="19"/>
      <c r="F146" s="8"/>
      <c r="G146" s="13"/>
      <c r="H146" s="13">
        <v>740</v>
      </c>
      <c r="I146" s="15">
        <v>87</v>
      </c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3">
        <f t="shared" si="32"/>
        <v>87</v>
      </c>
      <c r="V146" s="15"/>
      <c r="W146" s="15"/>
    </row>
    <row r="147" spans="1:23" ht="15.75">
      <c r="A147" s="36" t="s">
        <v>193</v>
      </c>
      <c r="B147" s="70" t="s">
        <v>85</v>
      </c>
      <c r="C147" s="9" t="s">
        <v>126</v>
      </c>
      <c r="D147" s="45"/>
      <c r="E147" s="19"/>
      <c r="F147" s="8"/>
      <c r="G147" s="13"/>
      <c r="H147" s="13">
        <v>11698.590400000001</v>
      </c>
      <c r="I147" s="15"/>
      <c r="J147" s="15" t="e">
        <f>#REF!*2</f>
        <v>#REF!</v>
      </c>
      <c r="K147" s="15" t="e">
        <f>#REF!</f>
        <v>#REF!</v>
      </c>
      <c r="L147" s="15" t="e">
        <f>#REF!</f>
        <v>#REF!</v>
      </c>
      <c r="M147" s="15" t="e">
        <f>#REF!</f>
        <v>#REF!</v>
      </c>
      <c r="N147" s="15" t="e">
        <f>#REF!</f>
        <v>#REF!</v>
      </c>
      <c r="O147" s="15" t="e">
        <f>#REF!</f>
        <v>#REF!</v>
      </c>
      <c r="P147" s="15" t="e">
        <f>#REF!</f>
        <v>#REF!</v>
      </c>
      <c r="Q147" s="15" t="e">
        <f>#REF!</f>
        <v>#REF!</v>
      </c>
      <c r="R147" s="15" t="e">
        <f>#REF!</f>
        <v>#REF!</v>
      </c>
      <c r="S147" s="15" t="e">
        <f>#REF!</f>
        <v>#REF!</v>
      </c>
      <c r="T147" s="15" t="e">
        <f>#REF!</f>
        <v>#REF!</v>
      </c>
      <c r="U147" s="13" t="e">
        <f t="shared" si="32"/>
        <v>#REF!</v>
      </c>
      <c r="V147" s="15"/>
      <c r="W147" s="15"/>
    </row>
    <row r="148" spans="1:23" ht="15.75">
      <c r="A148" s="36" t="s">
        <v>124</v>
      </c>
      <c r="B148" s="70" t="s">
        <v>185</v>
      </c>
      <c r="C148" s="9" t="s">
        <v>126</v>
      </c>
      <c r="D148" s="9" t="s">
        <v>126</v>
      </c>
      <c r="E148" s="9" t="s">
        <v>126</v>
      </c>
      <c r="F148" s="8"/>
      <c r="G148" s="13"/>
      <c r="H148" s="13">
        <v>800</v>
      </c>
      <c r="I148" s="15" t="e">
        <f>#REF!*1.12</f>
        <v>#REF!</v>
      </c>
      <c r="J148" s="15" t="e">
        <f>#REF!*1.12</f>
        <v>#REF!</v>
      </c>
      <c r="K148" s="15" t="e">
        <f>#REF!*1.12</f>
        <v>#REF!</v>
      </c>
      <c r="L148" s="15" t="e">
        <f>#REF!*1.12</f>
        <v>#REF!</v>
      </c>
      <c r="M148" s="15" t="e">
        <f>#REF!*1.12</f>
        <v>#REF!</v>
      </c>
      <c r="N148" s="15" t="e">
        <f>#REF!*1.12</f>
        <v>#REF!</v>
      </c>
      <c r="O148" s="15" t="e">
        <f>#REF!*1.12</f>
        <v>#REF!</v>
      </c>
      <c r="P148" s="15" t="e">
        <f>#REF!*1.12</f>
        <v>#REF!</v>
      </c>
      <c r="Q148" s="15" t="e">
        <f>#REF!*1.12</f>
        <v>#REF!</v>
      </c>
      <c r="R148" s="15" t="e">
        <f>#REF!*1.12</f>
        <v>#REF!</v>
      </c>
      <c r="S148" s="15" t="e">
        <f>#REF!*1.12</f>
        <v>#REF!</v>
      </c>
      <c r="T148" s="15" t="e">
        <f>#REF!*1.12</f>
        <v>#REF!</v>
      </c>
      <c r="U148" s="13" t="e">
        <f t="shared" si="32"/>
        <v>#REF!</v>
      </c>
      <c r="V148" s="15"/>
      <c r="W148" s="15"/>
    </row>
    <row r="149" spans="1:23" ht="15.75">
      <c r="A149" s="9" t="s">
        <v>97</v>
      </c>
      <c r="B149" s="18" t="s">
        <v>228</v>
      </c>
      <c r="C149" s="9" t="s">
        <v>126</v>
      </c>
      <c r="D149" s="19"/>
      <c r="E149" s="47"/>
      <c r="F149" s="12"/>
      <c r="G149" s="13"/>
      <c r="H149" s="13">
        <v>3990</v>
      </c>
      <c r="I149" s="13" t="e">
        <f>#REF!*1.12</f>
        <v>#REF!</v>
      </c>
      <c r="J149" s="13" t="e">
        <f>#REF!*1.12</f>
        <v>#REF!</v>
      </c>
      <c r="K149" s="13" t="e">
        <f>#REF!*1.12</f>
        <v>#REF!</v>
      </c>
      <c r="L149" s="13" t="e">
        <f>#REF!*1.12</f>
        <v>#REF!</v>
      </c>
      <c r="M149" s="13" t="e">
        <f>#REF!*1.12</f>
        <v>#REF!</v>
      </c>
      <c r="N149" s="13" t="e">
        <f>#REF!*1.12</f>
        <v>#REF!</v>
      </c>
      <c r="O149" s="13" t="e">
        <f>#REF!*1.12</f>
        <v>#REF!</v>
      </c>
      <c r="P149" s="13" t="e">
        <f>#REF!*1.12</f>
        <v>#REF!</v>
      </c>
      <c r="Q149" s="13" t="e">
        <f>#REF!*1.12</f>
        <v>#REF!</v>
      </c>
      <c r="R149" s="13" t="e">
        <f>#REF!*1.12</f>
        <v>#REF!</v>
      </c>
      <c r="S149" s="13" t="e">
        <f>#REF!*1.12</f>
        <v>#REF!</v>
      </c>
      <c r="T149" s="13" t="e">
        <f>#REF!*1.12</f>
        <v>#REF!</v>
      </c>
      <c r="U149" s="13" t="e">
        <f t="shared" si="32"/>
        <v>#REF!</v>
      </c>
      <c r="V149" s="15"/>
      <c r="W149" s="15"/>
    </row>
    <row r="150" spans="1:23" ht="15.75">
      <c r="A150" s="9" t="s">
        <v>98</v>
      </c>
      <c r="B150" s="18" t="s">
        <v>71</v>
      </c>
      <c r="C150" s="9" t="s">
        <v>126</v>
      </c>
      <c r="D150" s="19"/>
      <c r="E150" s="47"/>
      <c r="F150" s="12"/>
      <c r="G150" s="13"/>
      <c r="H150" s="13"/>
      <c r="I150" s="13">
        <v>300</v>
      </c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>
        <f t="shared" si="32"/>
        <v>300</v>
      </c>
      <c r="V150" s="15"/>
      <c r="W150" s="15"/>
    </row>
    <row r="151" spans="1:23" ht="15.75">
      <c r="A151" s="9" t="s">
        <v>99</v>
      </c>
      <c r="B151" s="18" t="s">
        <v>72</v>
      </c>
      <c r="C151" s="9" t="s">
        <v>126</v>
      </c>
      <c r="D151" s="19"/>
      <c r="E151" s="47"/>
      <c r="F151" s="12"/>
      <c r="G151" s="13">
        <v>342.89</v>
      </c>
      <c r="H151" s="13"/>
      <c r="I151" s="13">
        <v>342.89</v>
      </c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>
        <f t="shared" si="32"/>
        <v>342.89</v>
      </c>
      <c r="V151" s="15"/>
      <c r="W151" s="15"/>
    </row>
    <row r="152" spans="1:23" ht="15.75">
      <c r="A152" s="9" t="s">
        <v>100</v>
      </c>
      <c r="B152" s="18" t="s">
        <v>113</v>
      </c>
      <c r="C152" s="9" t="s">
        <v>126</v>
      </c>
      <c r="D152" s="19"/>
      <c r="E152" s="47"/>
      <c r="F152" s="12"/>
      <c r="G152" s="13">
        <f>2441.6+6854.12+1333.594</f>
        <v>10629.313999999998</v>
      </c>
      <c r="H152" s="13"/>
      <c r="I152" s="13"/>
      <c r="J152" s="13">
        <f>G152</f>
        <v>10629.313999999998</v>
      </c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>
        <f t="shared" si="32"/>
        <v>10629.313999999998</v>
      </c>
      <c r="V152" s="15"/>
      <c r="W152" s="15"/>
    </row>
    <row r="153" spans="1:23" ht="15.75">
      <c r="A153" s="9" t="s">
        <v>101</v>
      </c>
      <c r="B153" s="18" t="s">
        <v>114</v>
      </c>
      <c r="C153" s="9" t="s">
        <v>126</v>
      </c>
      <c r="D153" s="19"/>
      <c r="E153" s="47"/>
      <c r="F153" s="12"/>
      <c r="G153" s="13">
        <v>1285.17</v>
      </c>
      <c r="H153" s="13"/>
      <c r="I153" s="13">
        <v>1285.17</v>
      </c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>
        <f t="shared" si="32"/>
        <v>1285.17</v>
      </c>
      <c r="V153" s="15"/>
      <c r="W153" s="15"/>
    </row>
    <row r="154" spans="1:23" s="34" customFormat="1" ht="15.75">
      <c r="A154" s="9" t="s">
        <v>165</v>
      </c>
      <c r="B154" s="11" t="s">
        <v>230</v>
      </c>
      <c r="C154" s="10" t="s">
        <v>126</v>
      </c>
      <c r="D154" s="6"/>
      <c r="E154" s="49"/>
      <c r="F154" s="12"/>
      <c r="G154" s="17"/>
      <c r="H154" s="17">
        <v>39976.872018099995</v>
      </c>
      <c r="I154" s="14">
        <v>301.33179999999993</v>
      </c>
      <c r="J154" s="14">
        <v>301.33179999999993</v>
      </c>
      <c r="K154" s="14">
        <v>301.33179999999993</v>
      </c>
      <c r="L154" s="14">
        <v>6002.951540208001</v>
      </c>
      <c r="M154" s="14">
        <v>595.1374511040003</v>
      </c>
      <c r="N154" s="14">
        <v>498.08306889600044</v>
      </c>
      <c r="O154" s="14">
        <v>498.08306889600044</v>
      </c>
      <c r="P154" s="14">
        <v>498.08306889600044</v>
      </c>
      <c r="Q154" s="14">
        <v>498.08306889600044</v>
      </c>
      <c r="R154" s="14">
        <v>498.32338415999993</v>
      </c>
      <c r="S154" s="14">
        <v>512.4664479200001</v>
      </c>
      <c r="T154" s="14">
        <v>512.6646294784005</v>
      </c>
      <c r="U154" s="17">
        <f>SUM(I154:T154)</f>
        <v>11017.871128454402</v>
      </c>
      <c r="V154" s="14"/>
      <c r="W154" s="14"/>
    </row>
    <row r="155" spans="1:23" s="34" customFormat="1" ht="15.75" hidden="1">
      <c r="A155" s="9"/>
      <c r="B155" s="11"/>
      <c r="C155" s="6"/>
      <c r="D155" s="6"/>
      <c r="E155" s="49"/>
      <c r="F155" s="12"/>
      <c r="G155" s="17"/>
      <c r="H155" s="17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7"/>
      <c r="V155" s="14"/>
      <c r="W155" s="14"/>
    </row>
    <row r="156" spans="3:23" ht="15.75">
      <c r="C156" s="54"/>
      <c r="E156" s="53"/>
      <c r="F156" s="54"/>
      <c r="G156" s="54"/>
      <c r="H156" s="54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114"/>
      <c r="V156" s="52"/>
      <c r="W156" s="52"/>
    </row>
    <row r="157" spans="3:24" ht="30.75" customHeight="1">
      <c r="C157" s="54"/>
      <c r="E157" s="53"/>
      <c r="F157" s="216" t="s">
        <v>231</v>
      </c>
      <c r="G157" s="216"/>
      <c r="H157" s="216"/>
      <c r="I157" s="216"/>
      <c r="J157" s="83"/>
      <c r="K157" s="83"/>
      <c r="L157" s="83"/>
      <c r="M157" s="216" t="s">
        <v>164</v>
      </c>
      <c r="N157" s="216"/>
      <c r="O157" s="216"/>
      <c r="P157" s="83"/>
      <c r="Q157" s="83"/>
      <c r="R157" s="83"/>
      <c r="S157" s="83"/>
      <c r="T157" s="83"/>
      <c r="U157" s="114"/>
      <c r="V157" s="52"/>
      <c r="W157" s="52"/>
      <c r="X157" s="5"/>
    </row>
    <row r="158" spans="3:23" ht="15.75">
      <c r="C158" s="86"/>
      <c r="E158" s="53"/>
      <c r="F158" s="54"/>
      <c r="G158" s="54"/>
      <c r="H158" s="54"/>
      <c r="I158" s="54"/>
      <c r="J158" s="54"/>
      <c r="K158" s="54"/>
      <c r="L158" s="51"/>
      <c r="M158" s="51"/>
      <c r="N158" s="51"/>
      <c r="O158" s="50"/>
      <c r="P158" s="50"/>
      <c r="Q158" s="50"/>
      <c r="R158" s="50"/>
      <c r="S158" s="50"/>
      <c r="T158" s="50"/>
      <c r="U158" s="50"/>
      <c r="V158" s="52"/>
      <c r="W158" s="52"/>
    </row>
    <row r="159" spans="2:23" ht="15.75">
      <c r="B159" s="58"/>
      <c r="E159" s="53"/>
      <c r="F159" s="54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2"/>
      <c r="W159" s="52"/>
    </row>
    <row r="160" spans="2:23" s="34" customFormat="1" ht="15.75">
      <c r="B160" s="73"/>
      <c r="C160" s="72"/>
      <c r="D160" s="72"/>
      <c r="E160" s="35"/>
      <c r="F160" s="72"/>
      <c r="G160" s="72"/>
      <c r="H160" s="72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</row>
    <row r="161" ht="15.75">
      <c r="E161" s="53"/>
    </row>
    <row r="162" spans="5:21" ht="15.75">
      <c r="E162" s="53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5:20" ht="15.75">
      <c r="E163" s="53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5:20" ht="15.75">
      <c r="E164" s="53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</row>
    <row r="166" ht="15.75">
      <c r="I166" s="5"/>
    </row>
    <row r="172" spans="2:3" ht="15.75">
      <c r="B172" s="2"/>
      <c r="C172" s="2"/>
    </row>
    <row r="173" spans="2:3" ht="15.75">
      <c r="B173" s="2"/>
      <c r="C173" s="2"/>
    </row>
    <row r="181" spans="7:20" ht="15.75"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50"/>
      <c r="S181" s="209"/>
      <c r="T181" s="209"/>
    </row>
    <row r="182" spans="2:8" ht="15.75">
      <c r="B182" s="58"/>
      <c r="C182" s="54"/>
      <c r="F182" s="54"/>
      <c r="G182" s="54"/>
      <c r="H182" s="54"/>
    </row>
    <row r="183" spans="2:8" ht="15.75">
      <c r="B183" s="58"/>
      <c r="C183" s="54"/>
      <c r="G183" s="54"/>
      <c r="H183" s="54"/>
    </row>
    <row r="184" spans="2:8" ht="15.75">
      <c r="B184" s="58"/>
      <c r="C184" s="58"/>
      <c r="F184" s="54"/>
      <c r="G184" s="54"/>
      <c r="H184" s="54"/>
    </row>
    <row r="185" spans="6:8" ht="15.75">
      <c r="F185" s="54"/>
      <c r="G185" s="54"/>
      <c r="H185" s="54"/>
    </row>
  </sheetData>
  <sheetProtection/>
  <mergeCells count="9">
    <mergeCell ref="S181:T181"/>
    <mergeCell ref="G181:Q181"/>
    <mergeCell ref="A6:W6"/>
    <mergeCell ref="U1:W1"/>
    <mergeCell ref="U2:W2"/>
    <mergeCell ref="U3:W3"/>
    <mergeCell ref="A5:W5"/>
    <mergeCell ref="F157:I157"/>
    <mergeCell ref="M157:O157"/>
  </mergeCells>
  <printOptions horizontalCentered="1"/>
  <pageMargins left="0.15748031496062992" right="0.15748031496062992" top="0.15748031496062992" bottom="0.2362204724409449" header="0.31496062992125984" footer="0.15748031496062992"/>
  <pageSetup fitToHeight="4" fitToWidth="1"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showZeros="0" zoomScale="88" zoomScaleNormal="88" zoomScalePageLayoutView="0" workbookViewId="0" topLeftCell="A33">
      <selection activeCell="C49" sqref="C49:N49"/>
    </sheetView>
  </sheetViews>
  <sheetFormatPr defaultColWidth="9.00390625" defaultRowHeight="12.75"/>
  <cols>
    <col min="1" max="1" width="6.875" style="173" customWidth="1"/>
    <col min="2" max="2" width="87.875" style="174" customWidth="1"/>
    <col min="3" max="3" width="9.75390625" style="174" customWidth="1"/>
    <col min="4" max="4" width="11.125" style="175" hidden="1" customWidth="1"/>
    <col min="5" max="5" width="17.75390625" style="176" hidden="1" customWidth="1"/>
    <col min="6" max="6" width="9.75390625" style="176" hidden="1" customWidth="1"/>
    <col min="7" max="7" width="17.25390625" style="177" hidden="1" customWidth="1"/>
    <col min="8" max="8" width="15.125" style="177" hidden="1" customWidth="1"/>
    <col min="9" max="9" width="10.625" style="177" customWidth="1"/>
    <col min="10" max="10" width="8.75390625" style="177" customWidth="1"/>
    <col min="11" max="11" width="10.75390625" style="177" customWidth="1"/>
    <col min="12" max="12" width="11.75390625" style="177" customWidth="1"/>
    <col min="13" max="13" width="9.125" style="177" customWidth="1"/>
    <col min="14" max="14" width="13.25390625" style="177" customWidth="1"/>
    <col min="15" max="15" width="9.125" style="177" customWidth="1"/>
    <col min="16" max="16" width="11.75390625" style="177" customWidth="1"/>
    <col min="17" max="17" width="9.125" style="177" customWidth="1"/>
    <col min="18" max="18" width="13.625" style="177" customWidth="1"/>
    <col min="19" max="19" width="7.25390625" style="177" customWidth="1"/>
    <col min="20" max="20" width="7.75390625" style="177" customWidth="1"/>
    <col min="21" max="22" width="7.00390625" style="177" customWidth="1"/>
    <col min="23" max="23" width="7.25390625" style="177" customWidth="1"/>
    <col min="24" max="24" width="7.875" style="177" customWidth="1"/>
    <col min="25" max="16384" width="9.125" style="177" customWidth="1"/>
  </cols>
  <sheetData>
    <row r="1" ht="15.75" hidden="1">
      <c r="X1" s="178" t="s">
        <v>278</v>
      </c>
    </row>
    <row r="2" ht="15.75" hidden="1">
      <c r="X2" s="179" t="s">
        <v>279</v>
      </c>
    </row>
    <row r="3" ht="15.75" hidden="1">
      <c r="X3" s="178" t="s">
        <v>280</v>
      </c>
    </row>
    <row r="4" ht="15.75" hidden="1">
      <c r="X4" s="178" t="s">
        <v>281</v>
      </c>
    </row>
    <row r="5" ht="15.75" hidden="1">
      <c r="X5" s="178" t="s">
        <v>282</v>
      </c>
    </row>
    <row r="6" spans="20:24" ht="15.75" hidden="1">
      <c r="T6" s="217" t="s">
        <v>283</v>
      </c>
      <c r="U6" s="217"/>
      <c r="V6" s="217"/>
      <c r="W6" s="217"/>
      <c r="X6" s="217"/>
    </row>
    <row r="7" spans="1:24" ht="15.75">
      <c r="A7" s="218" t="s">
        <v>284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</row>
    <row r="8" spans="1:24" ht="15.75">
      <c r="A8" s="218" t="s">
        <v>285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</row>
    <row r="9" spans="2:18" ht="15.75">
      <c r="B9" s="219" t="s">
        <v>286</v>
      </c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</row>
    <row r="10" spans="1:24" ht="39.75" customHeight="1">
      <c r="A10" s="180"/>
      <c r="B10" s="221" t="s">
        <v>333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</row>
    <row r="11" spans="1:24" ht="45.75" customHeight="1">
      <c r="A11" s="222" t="s">
        <v>111</v>
      </c>
      <c r="B11" s="223" t="s">
        <v>176</v>
      </c>
      <c r="C11" s="223" t="s">
        <v>177</v>
      </c>
      <c r="D11" s="224" t="s">
        <v>287</v>
      </c>
      <c r="E11" s="224"/>
      <c r="F11" s="225" t="s">
        <v>288</v>
      </c>
      <c r="G11" s="225"/>
      <c r="H11" s="229" t="s">
        <v>289</v>
      </c>
      <c r="I11" s="230" t="s">
        <v>290</v>
      </c>
      <c r="J11" s="231"/>
      <c r="K11" s="231" t="s">
        <v>291</v>
      </c>
      <c r="L11" s="232"/>
      <c r="M11" s="233" t="s">
        <v>76</v>
      </c>
      <c r="N11" s="233"/>
      <c r="O11" s="234" t="s">
        <v>292</v>
      </c>
      <c r="P11" s="234"/>
      <c r="Q11" s="234"/>
      <c r="R11" s="234"/>
      <c r="S11" s="223" t="s">
        <v>293</v>
      </c>
      <c r="T11" s="223"/>
      <c r="U11" s="223" t="s">
        <v>294</v>
      </c>
      <c r="V11" s="223"/>
      <c r="W11" s="223" t="s">
        <v>295</v>
      </c>
      <c r="X11" s="223"/>
    </row>
    <row r="12" spans="1:24" ht="60" customHeight="1">
      <c r="A12" s="222"/>
      <c r="B12" s="223"/>
      <c r="C12" s="223"/>
      <c r="D12" s="181" t="s">
        <v>152</v>
      </c>
      <c r="E12" s="182" t="s">
        <v>178</v>
      </c>
      <c r="F12" s="181" t="s">
        <v>152</v>
      </c>
      <c r="G12" s="182" t="s">
        <v>178</v>
      </c>
      <c r="H12" s="229"/>
      <c r="I12" s="183" t="s">
        <v>296</v>
      </c>
      <c r="J12" s="184" t="s">
        <v>289</v>
      </c>
      <c r="K12" s="182" t="s">
        <v>296</v>
      </c>
      <c r="L12" s="182" t="s">
        <v>289</v>
      </c>
      <c r="M12" s="182" t="s">
        <v>152</v>
      </c>
      <c r="N12" s="182" t="s">
        <v>297</v>
      </c>
      <c r="O12" s="182" t="s">
        <v>296</v>
      </c>
      <c r="P12" s="182" t="s">
        <v>289</v>
      </c>
      <c r="Q12" s="182" t="s">
        <v>76</v>
      </c>
      <c r="R12" s="182" t="s">
        <v>277</v>
      </c>
      <c r="S12" s="182" t="s">
        <v>296</v>
      </c>
      <c r="T12" s="182" t="s">
        <v>289</v>
      </c>
      <c r="U12" s="182" t="s">
        <v>296</v>
      </c>
      <c r="V12" s="182" t="s">
        <v>289</v>
      </c>
      <c r="W12" s="182" t="s">
        <v>296</v>
      </c>
      <c r="X12" s="182" t="s">
        <v>289</v>
      </c>
    </row>
    <row r="13" spans="1:24" ht="15" customHeight="1">
      <c r="A13" s="185">
        <v>1</v>
      </c>
      <c r="B13" s="186" t="s">
        <v>0</v>
      </c>
      <c r="C13" s="187"/>
      <c r="D13" s="181"/>
      <c r="E13" s="188"/>
      <c r="F13" s="188"/>
      <c r="G13" s="188"/>
      <c r="H13" s="188"/>
      <c r="I13" s="188"/>
      <c r="J13" s="189"/>
      <c r="K13" s="190">
        <f>K14+K15+K16+K17+K18+K19+K20+K21+K22+K23</f>
        <v>186982.43143480716</v>
      </c>
      <c r="L13" s="190"/>
      <c r="M13" s="190"/>
      <c r="N13" s="191">
        <f>L13-K13</f>
        <v>-186982.43143480716</v>
      </c>
      <c r="O13" s="190">
        <f>O14+O15+O16+O17+O18+O19+O20+O21+O22+O23</f>
        <v>186982.43143480716</v>
      </c>
      <c r="P13" s="190"/>
      <c r="Q13" s="190">
        <f>Q14+Q15+Q16+Q17+Q18+Q19+Q20+Q21+Q22+Q23</f>
        <v>-186982.43143480716</v>
      </c>
      <c r="R13" s="226" t="s">
        <v>298</v>
      </c>
      <c r="S13" s="192"/>
      <c r="T13" s="192"/>
      <c r="U13" s="192"/>
      <c r="V13" s="192"/>
      <c r="W13" s="192"/>
      <c r="X13" s="192"/>
    </row>
    <row r="14" spans="1:24" ht="31.5">
      <c r="A14" s="193" t="s">
        <v>270</v>
      </c>
      <c r="B14" s="194" t="s">
        <v>299</v>
      </c>
      <c r="C14" s="195" t="s">
        <v>130</v>
      </c>
      <c r="D14" s="196">
        <v>1</v>
      </c>
      <c r="E14" s="192"/>
      <c r="F14" s="197">
        <v>27260.074350000003</v>
      </c>
      <c r="G14" s="197"/>
      <c r="H14" s="196" t="s">
        <v>130</v>
      </c>
      <c r="I14" s="198">
        <v>1</v>
      </c>
      <c r="J14" s="197"/>
      <c r="K14" s="197">
        <v>27260.074350000003</v>
      </c>
      <c r="L14" s="196"/>
      <c r="M14" s="197">
        <f>J14-I14</f>
        <v>-1</v>
      </c>
      <c r="N14" s="197">
        <f>L14-K14</f>
        <v>-27260.074350000003</v>
      </c>
      <c r="O14" s="197">
        <f aca="true" t="shared" si="0" ref="O14:O24">K14</f>
        <v>27260.074350000003</v>
      </c>
      <c r="P14" s="197"/>
      <c r="Q14" s="197">
        <f>P14-O14</f>
        <v>-27260.074350000003</v>
      </c>
      <c r="R14" s="227"/>
      <c r="S14" s="192"/>
      <c r="T14" s="192"/>
      <c r="U14" s="192"/>
      <c r="V14" s="192"/>
      <c r="W14" s="192"/>
      <c r="X14" s="192"/>
    </row>
    <row r="15" spans="1:24" ht="31.5">
      <c r="A15" s="198" t="s">
        <v>264</v>
      </c>
      <c r="B15" s="194" t="s">
        <v>300</v>
      </c>
      <c r="C15" s="195" t="s">
        <v>130</v>
      </c>
      <c r="D15" s="196">
        <v>1</v>
      </c>
      <c r="E15" s="192"/>
      <c r="F15" s="197">
        <v>19053.62268</v>
      </c>
      <c r="G15" s="197"/>
      <c r="H15" s="196" t="s">
        <v>130</v>
      </c>
      <c r="I15" s="198">
        <v>1</v>
      </c>
      <c r="J15" s="197"/>
      <c r="K15" s="197">
        <v>19053.62268</v>
      </c>
      <c r="L15" s="196"/>
      <c r="M15" s="197">
        <f aca="true" t="shared" si="1" ref="M15:M31">J15-I15</f>
        <v>-1</v>
      </c>
      <c r="N15" s="197">
        <f aca="true" t="shared" si="2" ref="N15:N46">L15-K15</f>
        <v>-19053.62268</v>
      </c>
      <c r="O15" s="197">
        <f t="shared" si="0"/>
        <v>19053.62268</v>
      </c>
      <c r="P15" s="197"/>
      <c r="Q15" s="197">
        <f aca="true" t="shared" si="3" ref="Q15:Q46">P15-O15</f>
        <v>-19053.62268</v>
      </c>
      <c r="R15" s="227"/>
      <c r="S15" s="192"/>
      <c r="T15" s="192"/>
      <c r="U15" s="192"/>
      <c r="V15" s="192"/>
      <c r="W15" s="192"/>
      <c r="X15" s="192"/>
    </row>
    <row r="16" spans="1:24" ht="31.5">
      <c r="A16" s="198" t="s">
        <v>11</v>
      </c>
      <c r="B16" s="194" t="s">
        <v>301</v>
      </c>
      <c r="C16" s="195" t="s">
        <v>130</v>
      </c>
      <c r="D16" s="197">
        <v>1</v>
      </c>
      <c r="E16" s="197"/>
      <c r="F16" s="197">
        <v>18211.4</v>
      </c>
      <c r="G16" s="197"/>
      <c r="H16" s="197" t="s">
        <v>130</v>
      </c>
      <c r="I16" s="195">
        <v>1</v>
      </c>
      <c r="J16" s="197"/>
      <c r="K16" s="197">
        <v>18211.4</v>
      </c>
      <c r="L16" s="197"/>
      <c r="M16" s="197">
        <f t="shared" si="1"/>
        <v>-1</v>
      </c>
      <c r="N16" s="197">
        <f t="shared" si="2"/>
        <v>-18211.4</v>
      </c>
      <c r="O16" s="197">
        <f t="shared" si="0"/>
        <v>18211.4</v>
      </c>
      <c r="P16" s="197"/>
      <c r="Q16" s="197">
        <f t="shared" si="3"/>
        <v>-18211.4</v>
      </c>
      <c r="R16" s="227"/>
      <c r="S16" s="192"/>
      <c r="T16" s="192"/>
      <c r="U16" s="192"/>
      <c r="V16" s="192"/>
      <c r="W16" s="192"/>
      <c r="X16" s="192"/>
    </row>
    <row r="17" spans="1:24" ht="47.25">
      <c r="A17" s="198" t="s">
        <v>12</v>
      </c>
      <c r="B17" s="194" t="s">
        <v>302</v>
      </c>
      <c r="C17" s="195" t="s">
        <v>130</v>
      </c>
      <c r="D17" s="196">
        <v>1</v>
      </c>
      <c r="E17" s="192"/>
      <c r="F17" s="197">
        <v>49773.53</v>
      </c>
      <c r="G17" s="197"/>
      <c r="H17" s="196" t="s">
        <v>130</v>
      </c>
      <c r="I17" s="198">
        <v>1</v>
      </c>
      <c r="J17" s="197"/>
      <c r="K17" s="197">
        <v>49773.53</v>
      </c>
      <c r="L17" s="196"/>
      <c r="M17" s="197">
        <f t="shared" si="1"/>
        <v>-1</v>
      </c>
      <c r="N17" s="197">
        <f t="shared" si="2"/>
        <v>-49773.53</v>
      </c>
      <c r="O17" s="197">
        <f t="shared" si="0"/>
        <v>49773.53</v>
      </c>
      <c r="P17" s="197"/>
      <c r="Q17" s="197">
        <f t="shared" si="3"/>
        <v>-49773.53</v>
      </c>
      <c r="R17" s="227"/>
      <c r="S17" s="192"/>
      <c r="T17" s="192"/>
      <c r="U17" s="192"/>
      <c r="V17" s="192"/>
      <c r="W17" s="192"/>
      <c r="X17" s="192"/>
    </row>
    <row r="18" spans="1:24" ht="31.5">
      <c r="A18" s="198" t="s">
        <v>155</v>
      </c>
      <c r="B18" s="194" t="s">
        <v>303</v>
      </c>
      <c r="C18" s="195" t="s">
        <v>130</v>
      </c>
      <c r="D18" s="196">
        <v>3</v>
      </c>
      <c r="E18" s="192"/>
      <c r="F18" s="197">
        <v>5498.244648000001</v>
      </c>
      <c r="G18" s="197"/>
      <c r="H18" s="196" t="s">
        <v>130</v>
      </c>
      <c r="I18" s="198">
        <v>3</v>
      </c>
      <c r="J18" s="197"/>
      <c r="K18" s="197">
        <v>5498.244648000001</v>
      </c>
      <c r="L18" s="196"/>
      <c r="M18" s="197">
        <f t="shared" si="1"/>
        <v>-3</v>
      </c>
      <c r="N18" s="197">
        <f t="shared" si="2"/>
        <v>-5498.244648000001</v>
      </c>
      <c r="O18" s="197">
        <f t="shared" si="0"/>
        <v>5498.244648000001</v>
      </c>
      <c r="P18" s="197"/>
      <c r="Q18" s="197">
        <f t="shared" si="3"/>
        <v>-5498.244648000001</v>
      </c>
      <c r="R18" s="227"/>
      <c r="S18" s="192"/>
      <c r="T18" s="192"/>
      <c r="U18" s="192"/>
      <c r="V18" s="192"/>
      <c r="W18" s="192"/>
      <c r="X18" s="192"/>
    </row>
    <row r="19" spans="1:24" ht="31.5">
      <c r="A19" s="198" t="s">
        <v>206</v>
      </c>
      <c r="B19" s="194" t="s">
        <v>304</v>
      </c>
      <c r="C19" s="195" t="s">
        <v>130</v>
      </c>
      <c r="D19" s="196">
        <v>84</v>
      </c>
      <c r="E19" s="192"/>
      <c r="F19" s="197">
        <v>7583.625</v>
      </c>
      <c r="G19" s="197"/>
      <c r="H19" s="196" t="s">
        <v>130</v>
      </c>
      <c r="I19" s="198">
        <v>84</v>
      </c>
      <c r="J19" s="197"/>
      <c r="K19" s="197">
        <v>7583.625</v>
      </c>
      <c r="L19" s="196"/>
      <c r="M19" s="197">
        <f t="shared" si="1"/>
        <v>-84</v>
      </c>
      <c r="N19" s="197">
        <f t="shared" si="2"/>
        <v>-7583.625</v>
      </c>
      <c r="O19" s="197">
        <f t="shared" si="0"/>
        <v>7583.625</v>
      </c>
      <c r="P19" s="197"/>
      <c r="Q19" s="197">
        <f t="shared" si="3"/>
        <v>-7583.625</v>
      </c>
      <c r="R19" s="227"/>
      <c r="S19" s="192"/>
      <c r="T19" s="192"/>
      <c r="U19" s="192"/>
      <c r="V19" s="192"/>
      <c r="W19" s="192"/>
      <c r="X19" s="192"/>
    </row>
    <row r="20" spans="1:24" ht="31.5">
      <c r="A20" s="198" t="s">
        <v>216</v>
      </c>
      <c r="B20" s="194" t="s">
        <v>305</v>
      </c>
      <c r="C20" s="195" t="s">
        <v>130</v>
      </c>
      <c r="D20" s="196">
        <v>32</v>
      </c>
      <c r="E20" s="192"/>
      <c r="F20" s="197">
        <v>17601.69688</v>
      </c>
      <c r="G20" s="197"/>
      <c r="H20" s="196" t="s">
        <v>130</v>
      </c>
      <c r="I20" s="198">
        <v>32</v>
      </c>
      <c r="J20" s="197"/>
      <c r="K20" s="197">
        <v>17601.69688</v>
      </c>
      <c r="L20" s="196"/>
      <c r="M20" s="197">
        <f t="shared" si="1"/>
        <v>-32</v>
      </c>
      <c r="N20" s="197">
        <f t="shared" si="2"/>
        <v>-17601.69688</v>
      </c>
      <c r="O20" s="197">
        <f t="shared" si="0"/>
        <v>17601.69688</v>
      </c>
      <c r="P20" s="197"/>
      <c r="Q20" s="197">
        <f t="shared" si="3"/>
        <v>-17601.69688</v>
      </c>
      <c r="R20" s="227"/>
      <c r="S20" s="192"/>
      <c r="T20" s="192"/>
      <c r="U20" s="192"/>
      <c r="V20" s="192"/>
      <c r="W20" s="192"/>
      <c r="X20" s="192"/>
    </row>
    <row r="21" spans="1:24" ht="46.5" customHeight="1">
      <c r="A21" s="198" t="s">
        <v>221</v>
      </c>
      <c r="B21" s="194" t="s">
        <v>306</v>
      </c>
      <c r="C21" s="195" t="s">
        <v>130</v>
      </c>
      <c r="D21" s="196">
        <v>11</v>
      </c>
      <c r="E21" s="192"/>
      <c r="F21" s="197">
        <v>22513.451075892855</v>
      </c>
      <c r="G21" s="197"/>
      <c r="H21" s="196" t="s">
        <v>130</v>
      </c>
      <c r="I21" s="198">
        <v>11</v>
      </c>
      <c r="J21" s="197"/>
      <c r="K21" s="197">
        <v>22513.451075892855</v>
      </c>
      <c r="L21" s="196"/>
      <c r="M21" s="197">
        <f t="shared" si="1"/>
        <v>-11</v>
      </c>
      <c r="N21" s="197">
        <f t="shared" si="2"/>
        <v>-22513.451075892855</v>
      </c>
      <c r="O21" s="197">
        <f t="shared" si="0"/>
        <v>22513.451075892855</v>
      </c>
      <c r="P21" s="197"/>
      <c r="Q21" s="197">
        <f t="shared" si="3"/>
        <v>-22513.451075892855</v>
      </c>
      <c r="R21" s="227"/>
      <c r="S21" s="192"/>
      <c r="T21" s="192"/>
      <c r="U21" s="192"/>
      <c r="V21" s="192"/>
      <c r="W21" s="192"/>
      <c r="X21" s="192"/>
    </row>
    <row r="22" spans="1:24" ht="30.75" customHeight="1">
      <c r="A22" s="198" t="s">
        <v>223</v>
      </c>
      <c r="B22" s="194" t="s">
        <v>307</v>
      </c>
      <c r="C22" s="195" t="s">
        <v>130</v>
      </c>
      <c r="D22" s="196">
        <v>1</v>
      </c>
      <c r="E22" s="192"/>
      <c r="F22" s="197">
        <v>10797.88</v>
      </c>
      <c r="G22" s="197"/>
      <c r="H22" s="196" t="s">
        <v>130</v>
      </c>
      <c r="I22" s="198">
        <v>1</v>
      </c>
      <c r="J22" s="197"/>
      <c r="K22" s="197">
        <v>10797.88</v>
      </c>
      <c r="L22" s="196"/>
      <c r="M22" s="197">
        <f t="shared" si="1"/>
        <v>-1</v>
      </c>
      <c r="N22" s="197">
        <f t="shared" si="2"/>
        <v>-10797.88</v>
      </c>
      <c r="O22" s="197">
        <f t="shared" si="0"/>
        <v>10797.88</v>
      </c>
      <c r="P22" s="197"/>
      <c r="Q22" s="197">
        <f t="shared" si="3"/>
        <v>-10797.88</v>
      </c>
      <c r="R22" s="227"/>
      <c r="S22" s="192"/>
      <c r="T22" s="192"/>
      <c r="U22" s="192"/>
      <c r="V22" s="192"/>
      <c r="W22" s="192"/>
      <c r="X22" s="192"/>
    </row>
    <row r="23" spans="1:24" ht="31.5">
      <c r="A23" s="198" t="s">
        <v>225</v>
      </c>
      <c r="B23" s="194" t="s">
        <v>308</v>
      </c>
      <c r="C23" s="195" t="s">
        <v>130</v>
      </c>
      <c r="D23" s="197"/>
      <c r="E23" s="192"/>
      <c r="F23" s="197">
        <v>8688.906800914287</v>
      </c>
      <c r="G23" s="197"/>
      <c r="H23" s="197" t="s">
        <v>130</v>
      </c>
      <c r="I23" s="198">
        <v>1</v>
      </c>
      <c r="J23" s="197"/>
      <c r="K23" s="197">
        <v>8688.906800914287</v>
      </c>
      <c r="L23" s="197"/>
      <c r="M23" s="197">
        <f t="shared" si="1"/>
        <v>-1</v>
      </c>
      <c r="N23" s="197">
        <f t="shared" si="2"/>
        <v>-8688.906800914287</v>
      </c>
      <c r="O23" s="197">
        <f t="shared" si="0"/>
        <v>8688.906800914287</v>
      </c>
      <c r="P23" s="197"/>
      <c r="Q23" s="197">
        <f t="shared" si="3"/>
        <v>-8688.906800914287</v>
      </c>
      <c r="R23" s="227"/>
      <c r="S23" s="192"/>
      <c r="T23" s="192"/>
      <c r="U23" s="192"/>
      <c r="V23" s="192"/>
      <c r="W23" s="192"/>
      <c r="X23" s="192"/>
    </row>
    <row r="24" spans="1:24" ht="15.75">
      <c r="A24" s="193" t="s">
        <v>269</v>
      </c>
      <c r="B24" s="186" t="s">
        <v>83</v>
      </c>
      <c r="C24" s="199"/>
      <c r="D24" s="200"/>
      <c r="E24" s="201"/>
      <c r="F24" s="191">
        <f>F26+F28+F27+F29</f>
        <v>102843.07</v>
      </c>
      <c r="G24" s="191">
        <f>G26+G28+G27+G29</f>
        <v>0</v>
      </c>
      <c r="H24" s="200"/>
      <c r="I24" s="193"/>
      <c r="J24" s="191"/>
      <c r="K24" s="191">
        <f>K26+K28+K27+K29</f>
        <v>102843.07</v>
      </c>
      <c r="L24" s="200"/>
      <c r="M24" s="191"/>
      <c r="N24" s="191">
        <f t="shared" si="2"/>
        <v>-102843.07</v>
      </c>
      <c r="O24" s="191">
        <f t="shared" si="0"/>
        <v>102843.07</v>
      </c>
      <c r="P24" s="197"/>
      <c r="Q24" s="191">
        <f t="shared" si="3"/>
        <v>-102843.07</v>
      </c>
      <c r="R24" s="227"/>
      <c r="S24" s="192"/>
      <c r="T24" s="192"/>
      <c r="U24" s="192"/>
      <c r="V24" s="192"/>
      <c r="W24" s="192"/>
      <c r="X24" s="192"/>
    </row>
    <row r="25" spans="1:24" ht="15.75">
      <c r="A25" s="193"/>
      <c r="B25" s="194" t="s">
        <v>218</v>
      </c>
      <c r="C25" s="195"/>
      <c r="D25" s="197"/>
      <c r="E25" s="192"/>
      <c r="F25" s="197"/>
      <c r="G25" s="197"/>
      <c r="H25" s="197"/>
      <c r="I25" s="198"/>
      <c r="J25" s="197"/>
      <c r="K25" s="197"/>
      <c r="L25" s="197"/>
      <c r="M25" s="197"/>
      <c r="N25" s="197"/>
      <c r="O25" s="197"/>
      <c r="P25" s="197"/>
      <c r="Q25" s="197"/>
      <c r="R25" s="227"/>
      <c r="S25" s="192"/>
      <c r="T25" s="192"/>
      <c r="U25" s="192"/>
      <c r="V25" s="192"/>
      <c r="W25" s="192"/>
      <c r="X25" s="192"/>
    </row>
    <row r="26" spans="1:24" ht="15.75">
      <c r="A26" s="198">
        <v>1</v>
      </c>
      <c r="B26" s="194" t="s">
        <v>309</v>
      </c>
      <c r="C26" s="195" t="s">
        <v>120</v>
      </c>
      <c r="D26" s="197">
        <v>20.9</v>
      </c>
      <c r="E26" s="197"/>
      <c r="F26" s="197">
        <v>10000</v>
      </c>
      <c r="G26" s="197"/>
      <c r="H26" s="197" t="s">
        <v>120</v>
      </c>
      <c r="I26" s="195">
        <v>20.9</v>
      </c>
      <c r="J26" s="197"/>
      <c r="K26" s="197">
        <v>10000</v>
      </c>
      <c r="L26" s="197"/>
      <c r="M26" s="197">
        <f t="shared" si="1"/>
        <v>-20.9</v>
      </c>
      <c r="N26" s="197">
        <f t="shared" si="2"/>
        <v>-10000</v>
      </c>
      <c r="O26" s="197">
        <f aca="true" t="shared" si="4" ref="O26:O31">K26</f>
        <v>10000</v>
      </c>
      <c r="P26" s="197"/>
      <c r="Q26" s="197">
        <f t="shared" si="3"/>
        <v>-10000</v>
      </c>
      <c r="R26" s="227"/>
      <c r="S26" s="192"/>
      <c r="T26" s="192"/>
      <c r="U26" s="192"/>
      <c r="V26" s="192"/>
      <c r="W26" s="192"/>
      <c r="X26" s="192"/>
    </row>
    <row r="27" spans="1:24" ht="31.5">
      <c r="A27" s="198">
        <v>2</v>
      </c>
      <c r="B27" s="194" t="s">
        <v>310</v>
      </c>
      <c r="C27" s="195" t="s">
        <v>120</v>
      </c>
      <c r="D27" s="196">
        <v>1.5</v>
      </c>
      <c r="E27" s="192"/>
      <c r="F27" s="197">
        <v>4255.1</v>
      </c>
      <c r="G27" s="197"/>
      <c r="H27" s="196" t="s">
        <v>120</v>
      </c>
      <c r="I27" s="198">
        <v>1.5</v>
      </c>
      <c r="J27" s="197"/>
      <c r="K27" s="197">
        <v>4255.1</v>
      </c>
      <c r="L27" s="196"/>
      <c r="M27" s="197">
        <f t="shared" si="1"/>
        <v>-1.5</v>
      </c>
      <c r="N27" s="197">
        <f t="shared" si="2"/>
        <v>-4255.1</v>
      </c>
      <c r="O27" s="197">
        <f t="shared" si="4"/>
        <v>4255.1</v>
      </c>
      <c r="P27" s="197"/>
      <c r="Q27" s="197">
        <f t="shared" si="3"/>
        <v>-4255.1</v>
      </c>
      <c r="R27" s="227"/>
      <c r="S27" s="192"/>
      <c r="T27" s="192"/>
      <c r="U27" s="192"/>
      <c r="V27" s="192"/>
      <c r="W27" s="192"/>
      <c r="X27" s="192"/>
    </row>
    <row r="28" spans="1:24" ht="15.75">
      <c r="A28" s="198">
        <v>3</v>
      </c>
      <c r="B28" s="194" t="s">
        <v>311</v>
      </c>
      <c r="C28" s="195" t="s">
        <v>120</v>
      </c>
      <c r="D28" s="196">
        <v>19.6</v>
      </c>
      <c r="E28" s="192"/>
      <c r="F28" s="197">
        <v>88587.97</v>
      </c>
      <c r="G28" s="197"/>
      <c r="H28" s="196" t="s">
        <v>120</v>
      </c>
      <c r="I28" s="198">
        <v>19.6</v>
      </c>
      <c r="J28" s="197"/>
      <c r="K28" s="197">
        <v>88587.97</v>
      </c>
      <c r="L28" s="196"/>
      <c r="M28" s="197">
        <f t="shared" si="1"/>
        <v>-19.6</v>
      </c>
      <c r="N28" s="197">
        <f t="shared" si="2"/>
        <v>-88587.97</v>
      </c>
      <c r="O28" s="197">
        <f t="shared" si="4"/>
        <v>88587.97</v>
      </c>
      <c r="P28" s="197"/>
      <c r="Q28" s="197">
        <f t="shared" si="3"/>
        <v>-88587.97</v>
      </c>
      <c r="R28" s="227"/>
      <c r="S28" s="192"/>
      <c r="T28" s="192"/>
      <c r="U28" s="192"/>
      <c r="V28" s="192"/>
      <c r="W28" s="192"/>
      <c r="X28" s="192"/>
    </row>
    <row r="29" spans="1:24" ht="15" customHeight="1" hidden="1">
      <c r="A29" s="198">
        <v>4</v>
      </c>
      <c r="B29" s="194" t="s">
        <v>68</v>
      </c>
      <c r="C29" s="195"/>
      <c r="D29" s="196"/>
      <c r="E29" s="192"/>
      <c r="F29" s="197"/>
      <c r="G29" s="197"/>
      <c r="H29" s="196"/>
      <c r="I29" s="198"/>
      <c r="J29" s="197"/>
      <c r="K29" s="197"/>
      <c r="L29" s="196"/>
      <c r="M29" s="197">
        <f t="shared" si="1"/>
        <v>0</v>
      </c>
      <c r="N29" s="197">
        <f t="shared" si="2"/>
        <v>0</v>
      </c>
      <c r="O29" s="197">
        <f t="shared" si="4"/>
        <v>0</v>
      </c>
      <c r="P29" s="197">
        <f aca="true" t="shared" si="5" ref="P29:P45">L29</f>
        <v>0</v>
      </c>
      <c r="Q29" s="197">
        <f t="shared" si="3"/>
        <v>0</v>
      </c>
      <c r="R29" s="206"/>
      <c r="S29" s="192"/>
      <c r="T29" s="192"/>
      <c r="U29" s="192"/>
      <c r="V29" s="192"/>
      <c r="W29" s="192"/>
      <c r="X29" s="192"/>
    </row>
    <row r="30" spans="1:24" ht="15.75">
      <c r="A30" s="193" t="s">
        <v>4</v>
      </c>
      <c r="B30" s="186" t="s">
        <v>312</v>
      </c>
      <c r="C30" s="199"/>
      <c r="D30" s="200"/>
      <c r="E30" s="201"/>
      <c r="F30" s="191">
        <f>SUM(F31:F34)</f>
        <v>6000</v>
      </c>
      <c r="G30" s="191">
        <f>SUM(G31:G34)</f>
        <v>0</v>
      </c>
      <c r="H30" s="200"/>
      <c r="I30" s="193"/>
      <c r="J30" s="191"/>
      <c r="K30" s="191">
        <f>SUM(K31:K34)</f>
        <v>6000</v>
      </c>
      <c r="L30" s="200">
        <f>SUM(L31:L34)</f>
        <v>11637.634</v>
      </c>
      <c r="M30" s="191"/>
      <c r="N30" s="191">
        <f t="shared" si="2"/>
        <v>5637.634</v>
      </c>
      <c r="O30" s="191">
        <f t="shared" si="4"/>
        <v>6000</v>
      </c>
      <c r="P30" s="191">
        <f t="shared" si="5"/>
        <v>11637.634</v>
      </c>
      <c r="Q30" s="191">
        <f t="shared" si="3"/>
        <v>5637.634</v>
      </c>
      <c r="R30" s="207"/>
      <c r="S30" s="192"/>
      <c r="T30" s="192"/>
      <c r="U30" s="192"/>
      <c r="V30" s="192"/>
      <c r="W30" s="192"/>
      <c r="X30" s="192"/>
    </row>
    <row r="31" spans="1:24" ht="15.75">
      <c r="A31" s="198">
        <v>1</v>
      </c>
      <c r="B31" s="194" t="s">
        <v>313</v>
      </c>
      <c r="C31" s="195" t="s">
        <v>130</v>
      </c>
      <c r="D31" s="196">
        <v>4</v>
      </c>
      <c r="E31" s="192"/>
      <c r="F31" s="197">
        <v>6000</v>
      </c>
      <c r="G31" s="197">
        <f>W31</f>
        <v>0</v>
      </c>
      <c r="H31" s="196" t="s">
        <v>130</v>
      </c>
      <c r="I31" s="198">
        <v>4</v>
      </c>
      <c r="J31" s="197"/>
      <c r="K31" s="197">
        <v>6000</v>
      </c>
      <c r="L31" s="196">
        <f>SUM(L32:L34)</f>
        <v>5818.817</v>
      </c>
      <c r="M31" s="197">
        <f t="shared" si="1"/>
        <v>-4</v>
      </c>
      <c r="N31" s="197">
        <f t="shared" si="2"/>
        <v>-181.183</v>
      </c>
      <c r="O31" s="197">
        <f t="shared" si="4"/>
        <v>6000</v>
      </c>
      <c r="P31" s="197">
        <f t="shared" si="5"/>
        <v>5818.817</v>
      </c>
      <c r="Q31" s="197">
        <f t="shared" si="3"/>
        <v>-181.183</v>
      </c>
      <c r="R31" s="207"/>
      <c r="S31" s="192"/>
      <c r="T31" s="192"/>
      <c r="U31" s="192"/>
      <c r="V31" s="192"/>
      <c r="W31" s="192"/>
      <c r="X31" s="192"/>
    </row>
    <row r="32" spans="1:24" ht="15.75">
      <c r="A32" s="198">
        <v>2</v>
      </c>
      <c r="B32" s="194" t="s">
        <v>314</v>
      </c>
      <c r="C32" s="195" t="s">
        <v>130</v>
      </c>
      <c r="D32" s="197"/>
      <c r="E32" s="192"/>
      <c r="F32" s="197"/>
      <c r="G32" s="197">
        <f>W32</f>
        <v>0</v>
      </c>
      <c r="H32" s="197" t="s">
        <v>130</v>
      </c>
      <c r="I32" s="198"/>
      <c r="J32" s="197"/>
      <c r="K32" s="197"/>
      <c r="L32" s="197">
        <v>1577.64</v>
      </c>
      <c r="M32" s="197"/>
      <c r="N32" s="197">
        <f t="shared" si="2"/>
        <v>1577.64</v>
      </c>
      <c r="O32" s="197"/>
      <c r="P32" s="197">
        <f t="shared" si="5"/>
        <v>1577.64</v>
      </c>
      <c r="Q32" s="197">
        <f t="shared" si="3"/>
        <v>1577.64</v>
      </c>
      <c r="R32" s="207"/>
      <c r="S32" s="192"/>
      <c r="T32" s="192"/>
      <c r="U32" s="192"/>
      <c r="V32" s="192"/>
      <c r="W32" s="192"/>
      <c r="X32" s="192"/>
    </row>
    <row r="33" spans="1:24" ht="15.75">
      <c r="A33" s="198">
        <v>3</v>
      </c>
      <c r="B33" s="194" t="s">
        <v>334</v>
      </c>
      <c r="C33" s="195" t="s">
        <v>130</v>
      </c>
      <c r="D33" s="196"/>
      <c r="E33" s="192"/>
      <c r="F33" s="197"/>
      <c r="G33" s="197">
        <f>W33</f>
        <v>0</v>
      </c>
      <c r="H33" s="196" t="s">
        <v>130</v>
      </c>
      <c r="I33" s="198"/>
      <c r="J33" s="197"/>
      <c r="K33" s="197"/>
      <c r="L33" s="196">
        <v>2676.177</v>
      </c>
      <c r="M33" s="197"/>
      <c r="N33" s="197">
        <f t="shared" si="2"/>
        <v>2676.177</v>
      </c>
      <c r="O33" s="197"/>
      <c r="P33" s="197">
        <f t="shared" si="5"/>
        <v>2676.177</v>
      </c>
      <c r="Q33" s="197">
        <f t="shared" si="3"/>
        <v>2676.177</v>
      </c>
      <c r="R33" s="207"/>
      <c r="S33" s="192"/>
      <c r="T33" s="192"/>
      <c r="U33" s="192"/>
      <c r="V33" s="192"/>
      <c r="W33" s="192"/>
      <c r="X33" s="192"/>
    </row>
    <row r="34" spans="1:24" ht="15.75">
      <c r="A34" s="198">
        <v>4</v>
      </c>
      <c r="B34" s="194" t="s">
        <v>335</v>
      </c>
      <c r="C34" s="195" t="s">
        <v>130</v>
      </c>
      <c r="D34" s="196"/>
      <c r="E34" s="192"/>
      <c r="F34" s="197"/>
      <c r="G34" s="197">
        <f>W34</f>
        <v>0</v>
      </c>
      <c r="H34" s="196" t="s">
        <v>130</v>
      </c>
      <c r="I34" s="198"/>
      <c r="J34" s="197"/>
      <c r="K34" s="197"/>
      <c r="L34" s="196">
        <v>1565</v>
      </c>
      <c r="M34" s="197"/>
      <c r="N34" s="197">
        <f t="shared" si="2"/>
        <v>1565</v>
      </c>
      <c r="O34" s="197"/>
      <c r="P34" s="197">
        <f t="shared" si="5"/>
        <v>1565</v>
      </c>
      <c r="Q34" s="197">
        <f t="shared" si="3"/>
        <v>1565</v>
      </c>
      <c r="R34" s="192"/>
      <c r="S34" s="192"/>
      <c r="T34" s="192"/>
      <c r="U34" s="192"/>
      <c r="V34" s="192"/>
      <c r="W34" s="192"/>
      <c r="X34" s="192"/>
    </row>
    <row r="35" spans="1:24" s="203" customFormat="1" ht="27" customHeight="1">
      <c r="A35" s="193" t="s">
        <v>80</v>
      </c>
      <c r="B35" s="186" t="s">
        <v>315</v>
      </c>
      <c r="C35" s="195"/>
      <c r="D35" s="196"/>
      <c r="E35" s="192"/>
      <c r="F35" s="197"/>
      <c r="G35" s="197">
        <f>SUM(G36:G36)</f>
        <v>0</v>
      </c>
      <c r="H35" s="196"/>
      <c r="I35" s="193"/>
      <c r="J35" s="191"/>
      <c r="K35" s="191"/>
      <c r="L35" s="200">
        <f>SUM(L36:L36)</f>
        <v>10937.5</v>
      </c>
      <c r="M35" s="191"/>
      <c r="N35" s="191">
        <f t="shared" si="2"/>
        <v>10937.5</v>
      </c>
      <c r="O35" s="191"/>
      <c r="P35" s="191">
        <f t="shared" si="5"/>
        <v>10937.5</v>
      </c>
      <c r="Q35" s="191">
        <f t="shared" si="3"/>
        <v>10937.5</v>
      </c>
      <c r="R35" s="202"/>
      <c r="S35" s="202"/>
      <c r="T35" s="202"/>
      <c r="U35" s="202"/>
      <c r="V35" s="202"/>
      <c r="W35" s="202"/>
      <c r="X35" s="202"/>
    </row>
    <row r="36" spans="1:24" ht="15.75">
      <c r="A36" s="198">
        <v>1</v>
      </c>
      <c r="B36" s="194" t="s">
        <v>69</v>
      </c>
      <c r="C36" s="208" t="s">
        <v>130</v>
      </c>
      <c r="D36" s="196"/>
      <c r="E36" s="192"/>
      <c r="F36" s="197"/>
      <c r="G36" s="197">
        <f>W36</f>
        <v>0</v>
      </c>
      <c r="H36" s="196" t="s">
        <v>130</v>
      </c>
      <c r="I36" s="198"/>
      <c r="J36" s="197"/>
      <c r="K36" s="197"/>
      <c r="L36" s="196">
        <v>10937.5</v>
      </c>
      <c r="M36" s="197"/>
      <c r="N36" s="197">
        <f t="shared" si="2"/>
        <v>10937.5</v>
      </c>
      <c r="O36" s="197"/>
      <c r="P36" s="197">
        <f t="shared" si="5"/>
        <v>10937.5</v>
      </c>
      <c r="Q36" s="197">
        <f t="shared" si="3"/>
        <v>10937.5</v>
      </c>
      <c r="R36" s="192"/>
      <c r="S36" s="192"/>
      <c r="T36" s="192"/>
      <c r="U36" s="192"/>
      <c r="V36" s="192"/>
      <c r="W36" s="192"/>
      <c r="X36" s="192"/>
    </row>
    <row r="37" spans="1:24" ht="15.75">
      <c r="A37" s="193" t="s">
        <v>81</v>
      </c>
      <c r="B37" s="186" t="s">
        <v>170</v>
      </c>
      <c r="C37" s="208"/>
      <c r="D37" s="197"/>
      <c r="E37" s="197"/>
      <c r="F37" s="197">
        <v>361340.57</v>
      </c>
      <c r="G37" s="197">
        <f aca="true" t="shared" si="6" ref="G37:G45">W37</f>
        <v>0</v>
      </c>
      <c r="H37" s="197"/>
      <c r="I37" s="195"/>
      <c r="J37" s="197"/>
      <c r="K37" s="191">
        <v>361340.57</v>
      </c>
      <c r="L37" s="191">
        <f>K37/12*5</f>
        <v>150558.57083333333</v>
      </c>
      <c r="M37" s="191"/>
      <c r="N37" s="191">
        <f t="shared" si="2"/>
        <v>-210781.99916666668</v>
      </c>
      <c r="O37" s="191">
        <f>K37</f>
        <v>361340.57</v>
      </c>
      <c r="P37" s="197">
        <f t="shared" si="5"/>
        <v>150558.57083333333</v>
      </c>
      <c r="Q37" s="191">
        <f t="shared" si="3"/>
        <v>-210781.99916666668</v>
      </c>
      <c r="R37" s="192"/>
      <c r="S37" s="192"/>
      <c r="T37" s="192"/>
      <c r="U37" s="192"/>
      <c r="V37" s="192"/>
      <c r="W37" s="192"/>
      <c r="X37" s="192"/>
    </row>
    <row r="38" spans="1:24" ht="15.75">
      <c r="A38" s="193" t="s">
        <v>66</v>
      </c>
      <c r="B38" s="186" t="s">
        <v>194</v>
      </c>
      <c r="C38" s="208"/>
      <c r="D38" s="200"/>
      <c r="E38" s="201">
        <f>SUM(E39:E45)</f>
        <v>0</v>
      </c>
      <c r="F38" s="191">
        <f>SUM(F39:F45)</f>
        <v>0</v>
      </c>
      <c r="G38" s="191">
        <f>SUM(G39:G45)</f>
        <v>0</v>
      </c>
      <c r="H38" s="200"/>
      <c r="I38" s="193"/>
      <c r="J38" s="191"/>
      <c r="K38" s="191"/>
      <c r="L38" s="200">
        <f>SUM(L39:L45)</f>
        <v>8645.105</v>
      </c>
      <c r="M38" s="191"/>
      <c r="N38" s="191">
        <f t="shared" si="2"/>
        <v>8645.105</v>
      </c>
      <c r="O38" s="191"/>
      <c r="P38" s="191">
        <f t="shared" si="5"/>
        <v>8645.105</v>
      </c>
      <c r="Q38" s="191">
        <f t="shared" si="3"/>
        <v>8645.105</v>
      </c>
      <c r="R38" s="192"/>
      <c r="S38" s="192"/>
      <c r="T38" s="192"/>
      <c r="U38" s="192"/>
      <c r="V38" s="192"/>
      <c r="W38" s="192"/>
      <c r="X38" s="192"/>
    </row>
    <row r="39" spans="1:24" ht="15.75">
      <c r="A39" s="204">
        <v>1</v>
      </c>
      <c r="B39" s="194" t="s">
        <v>316</v>
      </c>
      <c r="C39" s="208"/>
      <c r="D39" s="196"/>
      <c r="E39" s="192"/>
      <c r="F39" s="197"/>
      <c r="G39" s="197">
        <f t="shared" si="6"/>
        <v>0</v>
      </c>
      <c r="H39" s="196"/>
      <c r="I39" s="198"/>
      <c r="J39" s="197"/>
      <c r="K39" s="197"/>
      <c r="L39" s="196">
        <v>235.5</v>
      </c>
      <c r="M39" s="197"/>
      <c r="N39" s="197">
        <f t="shared" si="2"/>
        <v>235.5</v>
      </c>
      <c r="O39" s="197"/>
      <c r="P39" s="197">
        <f t="shared" si="5"/>
        <v>235.5</v>
      </c>
      <c r="Q39" s="197">
        <f t="shared" si="3"/>
        <v>235.5</v>
      </c>
      <c r="R39" s="192"/>
      <c r="S39" s="192"/>
      <c r="T39" s="192"/>
      <c r="U39" s="192"/>
      <c r="V39" s="192"/>
      <c r="W39" s="192"/>
      <c r="X39" s="192"/>
    </row>
    <row r="40" spans="1:24" ht="15.75" hidden="1">
      <c r="A40" s="198">
        <v>2</v>
      </c>
      <c r="B40" s="205" t="s">
        <v>70</v>
      </c>
      <c r="C40" s="208"/>
      <c r="D40" s="196"/>
      <c r="E40" s="192"/>
      <c r="F40" s="197"/>
      <c r="G40" s="197">
        <f>W40</f>
        <v>0</v>
      </c>
      <c r="H40" s="196"/>
      <c r="I40" s="198"/>
      <c r="J40" s="197"/>
      <c r="K40" s="197"/>
      <c r="L40" s="196">
        <f>AB40</f>
        <v>0</v>
      </c>
      <c r="M40" s="197"/>
      <c r="N40" s="197">
        <f t="shared" si="2"/>
        <v>0</v>
      </c>
      <c r="O40" s="197"/>
      <c r="P40" s="197">
        <f t="shared" si="5"/>
        <v>0</v>
      </c>
      <c r="Q40" s="197">
        <f t="shared" si="3"/>
        <v>0</v>
      </c>
      <c r="R40" s="192"/>
      <c r="S40" s="192"/>
      <c r="T40" s="192"/>
      <c r="U40" s="192"/>
      <c r="V40" s="192"/>
      <c r="W40" s="192"/>
      <c r="X40" s="192"/>
    </row>
    <row r="41" spans="1:24" ht="15.75" hidden="1">
      <c r="A41" s="198">
        <v>3</v>
      </c>
      <c r="B41" s="194" t="s">
        <v>317</v>
      </c>
      <c r="C41" s="208"/>
      <c r="D41" s="196"/>
      <c r="E41" s="192"/>
      <c r="F41" s="197"/>
      <c r="G41" s="197">
        <f>W41</f>
        <v>0</v>
      </c>
      <c r="H41" s="196"/>
      <c r="I41" s="198"/>
      <c r="J41" s="197"/>
      <c r="K41" s="197"/>
      <c r="L41" s="196">
        <f>AB41</f>
        <v>0</v>
      </c>
      <c r="M41" s="197"/>
      <c r="N41" s="197">
        <f t="shared" si="2"/>
        <v>0</v>
      </c>
      <c r="O41" s="197"/>
      <c r="P41" s="197">
        <f t="shared" si="5"/>
        <v>0</v>
      </c>
      <c r="Q41" s="197">
        <f t="shared" si="3"/>
        <v>0</v>
      </c>
      <c r="R41" s="192"/>
      <c r="S41" s="192"/>
      <c r="T41" s="192"/>
      <c r="U41" s="192"/>
      <c r="V41" s="192"/>
      <c r="W41" s="192"/>
      <c r="X41" s="192"/>
    </row>
    <row r="42" spans="1:24" ht="15.75">
      <c r="A42" s="198">
        <v>2</v>
      </c>
      <c r="B42" s="194" t="s">
        <v>209</v>
      </c>
      <c r="C42" s="208"/>
      <c r="D42" s="196"/>
      <c r="E42" s="192"/>
      <c r="F42" s="197"/>
      <c r="G42" s="197">
        <f>W42</f>
        <v>0</v>
      </c>
      <c r="H42" s="196"/>
      <c r="I42" s="198"/>
      <c r="J42" s="197"/>
      <c r="K42" s="197"/>
      <c r="L42" s="196">
        <v>1823.05</v>
      </c>
      <c r="M42" s="197"/>
      <c r="N42" s="197">
        <f t="shared" si="2"/>
        <v>1823.05</v>
      </c>
      <c r="O42" s="197"/>
      <c r="P42" s="197">
        <f t="shared" si="5"/>
        <v>1823.05</v>
      </c>
      <c r="Q42" s="197">
        <f t="shared" si="3"/>
        <v>1823.05</v>
      </c>
      <c r="R42" s="192"/>
      <c r="S42" s="192"/>
      <c r="T42" s="192"/>
      <c r="U42" s="192"/>
      <c r="V42" s="192"/>
      <c r="W42" s="192"/>
      <c r="X42" s="192"/>
    </row>
    <row r="43" spans="1:24" ht="15.75">
      <c r="A43" s="198">
        <v>3</v>
      </c>
      <c r="B43" s="194" t="s">
        <v>318</v>
      </c>
      <c r="C43" s="208"/>
      <c r="D43" s="196"/>
      <c r="E43" s="192"/>
      <c r="F43" s="197"/>
      <c r="G43" s="197">
        <f t="shared" si="6"/>
        <v>0</v>
      </c>
      <c r="H43" s="196"/>
      <c r="I43" s="198"/>
      <c r="J43" s="197"/>
      <c r="K43" s="197"/>
      <c r="L43" s="196">
        <v>1561.6</v>
      </c>
      <c r="M43" s="197"/>
      <c r="N43" s="197">
        <f t="shared" si="2"/>
        <v>1561.6</v>
      </c>
      <c r="O43" s="197"/>
      <c r="P43" s="197">
        <f t="shared" si="5"/>
        <v>1561.6</v>
      </c>
      <c r="Q43" s="197">
        <f t="shared" si="3"/>
        <v>1561.6</v>
      </c>
      <c r="R43" s="192"/>
      <c r="S43" s="192"/>
      <c r="T43" s="192"/>
      <c r="U43" s="192"/>
      <c r="V43" s="192"/>
      <c r="W43" s="192"/>
      <c r="X43" s="192"/>
    </row>
    <row r="44" spans="1:24" ht="15.75">
      <c r="A44" s="198">
        <v>4</v>
      </c>
      <c r="B44" s="194" t="s">
        <v>319</v>
      </c>
      <c r="C44" s="208"/>
      <c r="D44" s="197"/>
      <c r="E44" s="192"/>
      <c r="F44" s="197"/>
      <c r="G44" s="197">
        <f t="shared" si="6"/>
        <v>0</v>
      </c>
      <c r="H44" s="197"/>
      <c r="I44" s="198"/>
      <c r="J44" s="197"/>
      <c r="K44" s="197"/>
      <c r="L44" s="197">
        <v>1375.49</v>
      </c>
      <c r="M44" s="197"/>
      <c r="N44" s="197">
        <f t="shared" si="2"/>
        <v>1375.49</v>
      </c>
      <c r="O44" s="197"/>
      <c r="P44" s="197">
        <f t="shared" si="5"/>
        <v>1375.49</v>
      </c>
      <c r="Q44" s="197">
        <f t="shared" si="3"/>
        <v>1375.49</v>
      </c>
      <c r="R44" s="192"/>
      <c r="S44" s="192"/>
      <c r="T44" s="192"/>
      <c r="U44" s="192"/>
      <c r="V44" s="192"/>
      <c r="W44" s="192"/>
      <c r="X44" s="192"/>
    </row>
    <row r="45" spans="1:24" ht="15.75">
      <c r="A45" s="198">
        <v>5</v>
      </c>
      <c r="B45" s="194" t="s">
        <v>194</v>
      </c>
      <c r="C45" s="208"/>
      <c r="D45" s="196"/>
      <c r="E45" s="192"/>
      <c r="F45" s="197"/>
      <c r="G45" s="197">
        <f t="shared" si="6"/>
        <v>0</v>
      </c>
      <c r="H45" s="196"/>
      <c r="I45" s="198"/>
      <c r="J45" s="197"/>
      <c r="K45" s="197"/>
      <c r="L45" s="196">
        <f>1317.29+70.31+243.13+26.8+182+169.29+1640.645</f>
        <v>3649.465</v>
      </c>
      <c r="M45" s="197"/>
      <c r="N45" s="197">
        <f t="shared" si="2"/>
        <v>3649.465</v>
      </c>
      <c r="O45" s="197"/>
      <c r="P45" s="197">
        <f t="shared" si="5"/>
        <v>3649.465</v>
      </c>
      <c r="Q45" s="197">
        <f t="shared" si="3"/>
        <v>3649.465</v>
      </c>
      <c r="R45" s="192"/>
      <c r="S45" s="192"/>
      <c r="T45" s="192"/>
      <c r="U45" s="192"/>
      <c r="V45" s="192"/>
      <c r="W45" s="192"/>
      <c r="X45" s="192"/>
    </row>
    <row r="46" spans="1:24" ht="15.75">
      <c r="A46" s="193" t="s">
        <v>67</v>
      </c>
      <c r="B46" s="186" t="s">
        <v>271</v>
      </c>
      <c r="C46" s="199"/>
      <c r="D46" s="191"/>
      <c r="E46" s="201"/>
      <c r="F46" s="191">
        <f>F13+F24+F30+F35+F37+F38</f>
        <v>470183.64</v>
      </c>
      <c r="G46" s="191">
        <f>G13+G24+G30+G35+G37+G38</f>
        <v>0</v>
      </c>
      <c r="H46" s="191"/>
      <c r="I46" s="193"/>
      <c r="J46" s="191"/>
      <c r="K46" s="191">
        <f>K13+K24+K30+K35+K37+K38</f>
        <v>657166.0714348073</v>
      </c>
      <c r="L46" s="191">
        <f>L13+L24+L30+L35+L37+L38</f>
        <v>181778.80983333333</v>
      </c>
      <c r="M46" s="191"/>
      <c r="N46" s="191">
        <f t="shared" si="2"/>
        <v>-475387.2616014739</v>
      </c>
      <c r="O46" s="191">
        <f>K46</f>
        <v>657166.0714348073</v>
      </c>
      <c r="P46" s="191">
        <f>L46</f>
        <v>181778.80983333333</v>
      </c>
      <c r="Q46" s="191">
        <f t="shared" si="3"/>
        <v>-475387.2616014739</v>
      </c>
      <c r="R46" s="192"/>
      <c r="S46" s="192"/>
      <c r="T46" s="192"/>
      <c r="U46" s="192"/>
      <c r="V46" s="192"/>
      <c r="W46" s="192"/>
      <c r="X46" s="192"/>
    </row>
    <row r="47" ht="15.75">
      <c r="A47" s="177"/>
    </row>
    <row r="49" spans="3:10" ht="30.75" customHeight="1">
      <c r="C49" s="228"/>
      <c r="D49" s="228"/>
      <c r="E49" s="228"/>
      <c r="F49" s="228"/>
      <c r="G49" s="228"/>
      <c r="H49" s="228"/>
      <c r="I49" s="228"/>
      <c r="J49" s="228"/>
    </row>
  </sheetData>
  <sheetProtection/>
  <mergeCells count="20">
    <mergeCell ref="R13:R28"/>
    <mergeCell ref="C49:J49"/>
    <mergeCell ref="U11:V11"/>
    <mergeCell ref="W11:X11"/>
    <mergeCell ref="H11:H12"/>
    <mergeCell ref="I11:J11"/>
    <mergeCell ref="K11:L11"/>
    <mergeCell ref="M11:N11"/>
    <mergeCell ref="O11:R11"/>
    <mergeCell ref="S11:T11"/>
    <mergeCell ref="T6:X6"/>
    <mergeCell ref="A7:X7"/>
    <mergeCell ref="A8:X8"/>
    <mergeCell ref="B9:R9"/>
    <mergeCell ref="B10:X10"/>
    <mergeCell ref="A11:A12"/>
    <mergeCell ref="B11:B12"/>
    <mergeCell ref="C11:C12"/>
    <mergeCell ref="D11:E11"/>
    <mergeCell ref="F11:G11"/>
  </mergeCells>
  <hyperlinks>
    <hyperlink ref="X2" r:id="rId1" display="jl:39695703.100 "/>
  </hyperlinks>
  <printOptions/>
  <pageMargins left="0.2" right="0.21" top="0.65" bottom="0.2" header="0.31496062992125984" footer="0.31496062992125984"/>
  <pageSetup fitToHeight="100" fitToWidth="1" horizontalDpi="600" verticalDpi="600" orientation="landscape" paperSize="9" scale="57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B14" sqref="B13:E14"/>
    </sheetView>
  </sheetViews>
  <sheetFormatPr defaultColWidth="8.875" defaultRowHeight="12.75"/>
  <cols>
    <col min="1" max="1" width="36.875" style="152" customWidth="1"/>
    <col min="2" max="2" width="22.75390625" style="152" customWidth="1"/>
    <col min="3" max="3" width="13.375" style="152" customWidth="1"/>
    <col min="4" max="4" width="16.25390625" style="152" customWidth="1"/>
    <col min="5" max="5" width="34.25390625" style="152" customWidth="1"/>
    <col min="6" max="6" width="34.875" style="152" customWidth="1"/>
    <col min="7" max="16384" width="8.875" style="152" customWidth="1"/>
  </cols>
  <sheetData>
    <row r="1" spans="1:6" ht="12.75">
      <c r="A1" s="235" t="s">
        <v>320</v>
      </c>
      <c r="B1" s="235"/>
      <c r="C1" s="235"/>
      <c r="D1" s="235"/>
      <c r="E1" s="235"/>
      <c r="F1" s="235"/>
    </row>
    <row r="2" spans="1:6" ht="24.75" customHeight="1">
      <c r="A2" s="235"/>
      <c r="B2" s="235"/>
      <c r="C2" s="235"/>
      <c r="D2" s="235"/>
      <c r="E2" s="235"/>
      <c r="F2" s="235"/>
    </row>
    <row r="4" spans="1:6" ht="63">
      <c r="A4" s="153" t="s">
        <v>321</v>
      </c>
      <c r="B4" s="154" t="s">
        <v>330</v>
      </c>
      <c r="C4" s="154" t="s">
        <v>331</v>
      </c>
      <c r="D4" s="154" t="s">
        <v>332</v>
      </c>
      <c r="E4" s="154" t="s">
        <v>322</v>
      </c>
      <c r="F4" s="154" t="s">
        <v>323</v>
      </c>
    </row>
    <row r="5" spans="1:6" ht="78.75">
      <c r="A5" s="155" t="s">
        <v>324</v>
      </c>
      <c r="B5" s="156">
        <v>1</v>
      </c>
      <c r="C5" s="157">
        <v>0.002</v>
      </c>
      <c r="D5" s="158">
        <v>-0.036</v>
      </c>
      <c r="E5" s="236"/>
      <c r="F5" s="238" t="s">
        <v>339</v>
      </c>
    </row>
    <row r="6" spans="1:6" ht="47.25">
      <c r="A6" s="159" t="s">
        <v>325</v>
      </c>
      <c r="B6" s="160">
        <v>682531.437</v>
      </c>
      <c r="C6" s="160">
        <v>1335003</v>
      </c>
      <c r="D6" s="160">
        <v>657735</v>
      </c>
      <c r="E6" s="237"/>
      <c r="F6" s="239"/>
    </row>
    <row r="7" spans="1:6" ht="42" customHeight="1">
      <c r="A7" s="238" t="s">
        <v>326</v>
      </c>
      <c r="B7" s="161">
        <v>0.61</v>
      </c>
      <c r="C7" s="161">
        <v>0.64</v>
      </c>
      <c r="D7" s="161">
        <v>0.64</v>
      </c>
      <c r="E7" s="162"/>
      <c r="F7" s="238" t="s">
        <v>336</v>
      </c>
    </row>
    <row r="8" spans="1:6" ht="48" customHeight="1">
      <c r="A8" s="239"/>
      <c r="B8" s="161">
        <v>1</v>
      </c>
      <c r="C8" s="161">
        <v>0.03</v>
      </c>
      <c r="D8" s="161">
        <v>0.03</v>
      </c>
      <c r="E8" s="162"/>
      <c r="F8" s="239"/>
    </row>
    <row r="9" spans="1:6" ht="47.25" customHeight="1">
      <c r="A9" s="238" t="s">
        <v>327</v>
      </c>
      <c r="B9" s="163">
        <v>0.0356</v>
      </c>
      <c r="C9" s="163">
        <v>0.0444</v>
      </c>
      <c r="D9" s="164">
        <v>0.0402</v>
      </c>
      <c r="E9" s="240" t="s">
        <v>340</v>
      </c>
      <c r="F9" s="242"/>
    </row>
    <row r="10" spans="1:6" ht="54" customHeight="1">
      <c r="A10" s="239"/>
      <c r="B10" s="161">
        <v>1</v>
      </c>
      <c r="C10" s="157"/>
      <c r="D10" s="157">
        <v>0.097</v>
      </c>
      <c r="E10" s="241"/>
      <c r="F10" s="243"/>
    </row>
    <row r="11" spans="1:6" ht="61.5" customHeight="1">
      <c r="A11" s="155" t="s">
        <v>328</v>
      </c>
      <c r="B11" s="162" t="s">
        <v>338</v>
      </c>
      <c r="C11" s="162"/>
      <c r="D11" s="162" t="s">
        <v>337</v>
      </c>
      <c r="E11" s="165" t="s">
        <v>329</v>
      </c>
      <c r="F11" s="162"/>
    </row>
    <row r="12" spans="1:6" ht="15.75">
      <c r="A12" s="166"/>
      <c r="B12" s="167"/>
      <c r="C12" s="167"/>
      <c r="D12" s="168"/>
      <c r="E12" s="169"/>
      <c r="F12" s="170"/>
    </row>
    <row r="14" spans="1:5" ht="15.75">
      <c r="A14" s="171"/>
      <c r="B14" s="166"/>
      <c r="C14" s="171"/>
      <c r="D14" s="166"/>
      <c r="E14" s="166"/>
    </row>
    <row r="15" spans="1:5" ht="15.75">
      <c r="A15" s="171"/>
      <c r="B15" s="166"/>
      <c r="C15" s="171"/>
      <c r="D15" s="166"/>
      <c r="E15" s="171"/>
    </row>
    <row r="19" ht="12.75">
      <c r="B19" s="172"/>
    </row>
  </sheetData>
  <sheetProtection/>
  <mergeCells count="8">
    <mergeCell ref="A1:F2"/>
    <mergeCell ref="E5:E6"/>
    <mergeCell ref="F5:F6"/>
    <mergeCell ref="A7:A8"/>
    <mergeCell ref="F7:F8"/>
    <mergeCell ref="A9:A10"/>
    <mergeCell ref="E9:E10"/>
    <mergeCell ref="F9:F10"/>
  </mergeCells>
  <printOptions/>
  <pageMargins left="0.25" right="0.2755905511811024" top="0.7480314960629921" bottom="0.2755905511811024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LMalceva</dc:creator>
  <cp:keywords/>
  <dc:description/>
  <cp:lastModifiedBy>ADolya</cp:lastModifiedBy>
  <cp:lastPrinted>2017-06-14T09:59:37Z</cp:lastPrinted>
  <dcterms:created xsi:type="dcterms:W3CDTF">2012-09-07T07:00:57Z</dcterms:created>
  <dcterms:modified xsi:type="dcterms:W3CDTF">2017-06-14T10:07:54Z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