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1" activeTab="1"/>
  </bookViews>
  <sheets>
    <sheet name="Мероприятия" sheetId="1" r:id="rId1"/>
    <sheet name="Отчет" sheetId="2" r:id="rId2"/>
  </sheets>
  <definedNames/>
  <calcPr fullCalcOnLoad="1"/>
</workbook>
</file>

<file path=xl/sharedStrings.xml><?xml version="1.0" encoding="utf-8"?>
<sst xmlns="http://schemas.openxmlformats.org/spreadsheetml/2006/main" count="286" uniqueCount="178">
  <si>
    <t>№ пп</t>
  </si>
  <si>
    <t>Наименование мероприятий</t>
  </si>
  <si>
    <t>Прибор Парма ВАФ-А (3 шт)</t>
  </si>
  <si>
    <t>Мультиметр (5 шт)</t>
  </si>
  <si>
    <t>Клещи токоизмерительные (9 шт)</t>
  </si>
  <si>
    <t>Прибор щитовой типа Э-378 (50 шт)</t>
  </si>
  <si>
    <t>Селективник переносной (1 шт)</t>
  </si>
  <si>
    <t>2.1</t>
  </si>
  <si>
    <t>2.2</t>
  </si>
  <si>
    <t>2.3</t>
  </si>
  <si>
    <t>2.4</t>
  </si>
  <si>
    <t>3.1</t>
  </si>
  <si>
    <t>3.2</t>
  </si>
  <si>
    <t>на период 2013-2015 гг.</t>
  </si>
  <si>
    <t>Организация каналов беспроводной связи (Wi-Fi) с ПС, оборудованными системами АСКУЭ, для передачи учетной информации в центр АСКУЭ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</si>
  <si>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</si>
  <si>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</si>
  <si>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</si>
  <si>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</si>
  <si>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</si>
  <si>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</si>
  <si>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</si>
  <si>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</si>
  <si>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</si>
  <si>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6</t>
  </si>
  <si>
    <t>6.1</t>
  </si>
  <si>
    <t>6.2</t>
  </si>
  <si>
    <t>7</t>
  </si>
  <si>
    <t>Замена аналоговой АТС ЕСК-400 на ЦАТС (1 шт)</t>
  </si>
  <si>
    <t>Автомобиль легковой высокой проходимости</t>
  </si>
  <si>
    <t>Вышка телескопическая ТВ-26</t>
  </si>
  <si>
    <t>Отклонение</t>
  </si>
  <si>
    <t xml:space="preserve">Мероприятия по инвестициям </t>
  </si>
  <si>
    <t>Кол-во</t>
  </si>
  <si>
    <t>2014 год</t>
  </si>
  <si>
    <t>2013 год</t>
  </si>
  <si>
    <t>2015 год</t>
  </si>
  <si>
    <t>Стоимость, тыс. тенге без учета НДС</t>
  </si>
  <si>
    <t>Объекты инвестиций</t>
  </si>
  <si>
    <t>в том числе</t>
  </si>
  <si>
    <t>Компьютер в комплекте (13 шт)</t>
  </si>
  <si>
    <t>Компьютер в комплекте (14 шт)</t>
  </si>
  <si>
    <t>Принтер, МФУ (7 шт)</t>
  </si>
  <si>
    <t>Принтер, МФУ (10 шт)</t>
  </si>
  <si>
    <t>Подъемник автомобильный гидравлический АГП-19</t>
  </si>
  <si>
    <t>Автомобиль легковой высокой проходимости (3 шт. )</t>
  </si>
  <si>
    <t>1</t>
  </si>
  <si>
    <t>2</t>
  </si>
  <si>
    <t>3</t>
  </si>
  <si>
    <t>Стоимость согласно ценовым предложениям в ценах 2012 года</t>
  </si>
  <si>
    <t>Замена индукционных счетчиков электроэнергии 100 В  на электронные без долговременной памяти в  точках коммерческого учета на ПС                               (ПСЧ-4АР.05.2М.301.3 в количесве 30 шт.)</t>
  </si>
  <si>
    <t>Замена индукционных счетчиков электроэнергии 100 В на электронные с долговременной памятью в  точках коммерческого учета на ПС     (ПСЧ-4ТМ.05.08 в количестве 52 шт.)</t>
  </si>
  <si>
    <t>Замена индукционных счетчиков электроэнергии 380 В на точках учета собственных и хозяйственных нужд на электронные РСЧ-4А.05.2М.301.2 в количестве 16 шт. и ПСЧ-3А.06 в количесве 3 шт.</t>
  </si>
  <si>
    <t>Замена индукционных счетчиков электроэнергии 380 В на точках учета собственных и хозяйственных нужд на электронные РСЧ-4А.05.2М.301.2 в количестве 16 шт. и ПСЧ-3А.06 в количесве 4 шт.</t>
  </si>
  <si>
    <t>Прибыль</t>
  </si>
  <si>
    <t>Программный комплекс расчетов аварийных режимов и установок РЗА в сложных электрических сетях IEDKK</t>
  </si>
  <si>
    <t>5.4</t>
  </si>
  <si>
    <t>Микроомметр (2 шт)</t>
  </si>
  <si>
    <t>Внедрение АСКУЭ, всего:</t>
  </si>
  <si>
    <t>в том числе:</t>
  </si>
  <si>
    <t>Приобретение автотехники, всего:</t>
  </si>
  <si>
    <t>Реконструкция ПС 110/35/10 кВ "Кустанайская"</t>
  </si>
  <si>
    <t>Замена индукционных счетчиков электроэнергии 380 В на точках учета собственных и хозяйственных нужд на электронные ПСЧ-4А.05.2М.301.2 в количестве 17 шт. и ПСЧ-3А.06 в количесве 3 шт.</t>
  </si>
  <si>
    <t>Приобретение диагностических приборов, всего</t>
  </si>
  <si>
    <t>4.5</t>
  </si>
  <si>
    <t>4.6</t>
  </si>
  <si>
    <t>Испытательный аппарат типа АИМ (1 шт)</t>
  </si>
  <si>
    <t>Магаомметр (4 шт)</t>
  </si>
  <si>
    <t>Мост переменного тока типа Вектор (1 шт)</t>
  </si>
  <si>
    <t>Установка типа Тангенс (1 шт)</t>
  </si>
  <si>
    <t>Испытательный комплекс Ретом (1 шт)</t>
  </si>
  <si>
    <t>Лицензионное  программное обеспечение</t>
  </si>
  <si>
    <t>Кабелеискатель (1 шт)</t>
  </si>
  <si>
    <t>Высотомер (2 шт)</t>
  </si>
  <si>
    <t>Тепловизор (1 шт)</t>
  </si>
  <si>
    <t>Прибор типа Зонд (Квант) (1 шт)</t>
  </si>
  <si>
    <t>Микроомметр (4 шт)</t>
  </si>
  <si>
    <t>Замена вычислительной и оргтехники и приобретение программного обеспечения, всего</t>
  </si>
  <si>
    <t>Здания и сооружения, всего:</t>
  </si>
  <si>
    <t>Устройство шатровой кровли Служебно-бытового комплекса Диспетчерский пункт (расширение РПБ)</t>
  </si>
  <si>
    <t>Устройство оперативного пункта управления на ПС (5 шт)</t>
  </si>
  <si>
    <t>Приобретение инвентарных строительных лесов</t>
  </si>
  <si>
    <t>Установка пластиковых окон на ПСТ 110/35/10 кВ "Боровская"</t>
  </si>
  <si>
    <t>Установка пластиковых окон на РПБ ПСТ "Карасу"</t>
  </si>
  <si>
    <t>7.1</t>
  </si>
  <si>
    <t>7.2</t>
  </si>
  <si>
    <t>Модернизация средств связи (Житикаринский район)</t>
  </si>
  <si>
    <t>Итого 2013 год</t>
  </si>
  <si>
    <t>Модернизация средств связи, всего:</t>
  </si>
  <si>
    <t>Модернизация средств связи (Наурзумский район)</t>
  </si>
  <si>
    <t>Модернизация средств связи (Октябрьский район)</t>
  </si>
  <si>
    <t>Итого 2014 год</t>
  </si>
  <si>
    <t>Итого 2015 год</t>
  </si>
  <si>
    <t>ВСЕГО инвестиции</t>
  </si>
  <si>
    <t>4.7</t>
  </si>
  <si>
    <t>4.8</t>
  </si>
  <si>
    <t>4.9</t>
  </si>
  <si>
    <t>4.10</t>
  </si>
  <si>
    <t>4.11</t>
  </si>
  <si>
    <t>7.3</t>
  </si>
  <si>
    <t>7.4</t>
  </si>
  <si>
    <t>Планируемая стоимость</t>
  </si>
  <si>
    <t>отклонение</t>
  </si>
  <si>
    <t>5 ячеек</t>
  </si>
  <si>
    <t>20 шт</t>
  </si>
  <si>
    <t>30 шт</t>
  </si>
  <si>
    <t>52 шт</t>
  </si>
  <si>
    <t>1 ед.</t>
  </si>
  <si>
    <t>6 ед.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</si>
  <si>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</si>
  <si>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Компьютер в комплекте</t>
  </si>
  <si>
    <t>Принтер, МФУ</t>
  </si>
  <si>
    <t>Устройство оперативного пункта управления на ПС</t>
  </si>
  <si>
    <t>Замена индукционных счетчиков электроэнергии 380 В на точках учета собственных и хозяйственных нужд на электронные</t>
  </si>
  <si>
    <t>Замена индукционных счетчиков электроэнергии 100 В  на электронные без долговременной памяти в  точках коммерческого учета на ПС</t>
  </si>
  <si>
    <t>№ п/п</t>
  </si>
  <si>
    <t>Испытательный высоковольтный прибор типа АИД-70</t>
  </si>
  <si>
    <t>Модернизация средств связи (Камыстинский район)</t>
  </si>
  <si>
    <t>Модернизация средств связи (Аулиекольский район)</t>
  </si>
  <si>
    <t>Замена аналоговой АТС на ЦАТС (г.Лисаковск)</t>
  </si>
  <si>
    <t>Реконструкция и замена оборудования подстанций</t>
  </si>
  <si>
    <t>Замена масляных выключателей 110 кВ с повышенным давлением на элегазовые выключатели на ПС 110/10 кВ "Успеновка"</t>
  </si>
  <si>
    <t>Замена аккумуляторных батарей на ПС 110/10 кВ "Юго-Западная"</t>
  </si>
  <si>
    <t>Замена выпрямителя автоматического зарядного устройства на ПС 110/10 кВ "Юго-Западная"</t>
  </si>
  <si>
    <t>Замена КРУН 10 кВ на ПС 35/10 кВ "Мичурина"</t>
  </si>
  <si>
    <t>Возврат заемных средств</t>
  </si>
  <si>
    <t>Замена аккумуляторных батарей на ПС 110/10 кВ "Южная"</t>
  </si>
  <si>
    <t>110/1</t>
  </si>
  <si>
    <t>Костанайский район</t>
  </si>
  <si>
    <t>Сарыкольский район</t>
  </si>
  <si>
    <t>Алтынсаринский район</t>
  </si>
  <si>
    <t>Узункольский район</t>
  </si>
  <si>
    <t>Лисаковский район</t>
  </si>
  <si>
    <t>Мендыкаринский район</t>
  </si>
  <si>
    <t>Наурзумский район</t>
  </si>
  <si>
    <t>Октябрьский  район</t>
  </si>
  <si>
    <t>Карабалыкский район</t>
  </si>
  <si>
    <t>План</t>
  </si>
  <si>
    <t>Факт</t>
  </si>
  <si>
    <t>Ед. изм.</t>
  </si>
  <si>
    <t>шт.</t>
  </si>
  <si>
    <t xml:space="preserve"> шт.</t>
  </si>
  <si>
    <t>Причины отклонения</t>
  </si>
  <si>
    <t>Собственные средства</t>
  </si>
  <si>
    <t>Заемные средства</t>
  </si>
  <si>
    <t>ИНФОРМАЦИЯ субъекта естественной монополии ТОО "Межрегионэнерготранзит"</t>
  </si>
  <si>
    <t>Сумма инвестиционной программы тыс. тенге</t>
  </si>
  <si>
    <t>Информация о фактических условиях финансирования инвестиционной программы (проекта), тыс. тенге</t>
  </si>
  <si>
    <t>Отчет о прибылях и убытках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</si>
  <si>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</si>
  <si>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</si>
  <si>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Информация о плановых и фактических объемах предоставления регулируемых услуг (товаров, работ)</t>
  </si>
  <si>
    <t>Наименование регулируемых услуг (товаров, работ)</t>
  </si>
  <si>
    <t>Услуги по передаче и распределению электрической энергии</t>
  </si>
  <si>
    <t xml:space="preserve">Улучшение производственных показателей, % по годам реализации </t>
  </si>
  <si>
    <t>факт прошлого года</t>
  </si>
  <si>
    <t>факт текущего года</t>
  </si>
  <si>
    <t>Снижение износа (физического) основных фондов (активов)% по годам реализации</t>
  </si>
  <si>
    <t>Снижение потерь, % по годам реализации</t>
  </si>
  <si>
    <t>план</t>
  </si>
  <si>
    <t>факт</t>
  </si>
  <si>
    <t>Снижение аварийности по годам реализации в зависимости от утвержденной инвестиционной программы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</si>
  <si>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</si>
  <si>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</si>
  <si>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</si>
  <si>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за счет непредвиденных затрат на командировочные, гсм и материалы</t>
  </si>
  <si>
    <t>ВСЕГО</t>
  </si>
  <si>
    <t xml:space="preserve">об исполнении инвестиционной программы за 2015 год, утвержденной совместным приказом и.о. председателя Агентства РК по регулированию естественных монополий от 7 августи 2012 года № 193-ОД и первого вице-министра Министерства индустрии и новых технологий Республики Казахстан от 09 августи 2012 года № 273, и скорректированной совместным приказом  Депатамента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13 ноября 2015 года № 372-ОД и Министерства энергетики Республики Казахстан </t>
  </si>
  <si>
    <t>10-15 %</t>
  </si>
  <si>
    <t>1-3%</t>
  </si>
  <si>
    <t>2-3%</t>
  </si>
  <si>
    <t>тыс. тенге</t>
  </si>
  <si>
    <t>матер затраты</t>
  </si>
  <si>
    <t>В сравнении с 2014 годом наблюдается повышение качества и надежности предоставляемых услуг, о чем свидетельствует снижение количества аварийных отключений, снижения отказов в работе каналов связи</t>
  </si>
  <si>
    <t>5 аварийных отключений, снижение по сравнению с 2014 годом на 29 %</t>
  </si>
  <si>
    <t>7 аварийных отключений, снижение по сравнению с 2013 годом на 80 %</t>
  </si>
  <si>
    <t>Аморти-зация</t>
  </si>
  <si>
    <t>Бюджетные сред-ства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</si>
</sst>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"/>
    <numFmt numFmtId="172" formatCode="#,##0.00000"/>
    <numFmt numFmtId="173" formatCode="#,##0.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9" fontId="3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99"/>
  <sheetViews>
    <sheetView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5.8515625" style="38" customWidth="1"/>
    <col min="2" max="2" width="87.8515625" style="23" customWidth="1"/>
    <col min="3" max="3" width="15.8515625" style="27" customWidth="1"/>
    <col min="4" max="4" width="20.421875" style="18" customWidth="1"/>
    <col min="5" max="5" width="16.140625" style="19" customWidth="1"/>
    <col min="6" max="6" width="18.28125" style="19" customWidth="1"/>
    <col min="7" max="7" width="16.140625" style="19" customWidth="1"/>
    <col min="8" max="16384" width="9.140625" style="29" customWidth="1"/>
  </cols>
  <sheetData>
    <row r="1" spans="1:7" ht="18.75">
      <c r="A1" s="83" t="s">
        <v>32</v>
      </c>
      <c r="B1" s="83"/>
      <c r="C1" s="83"/>
      <c r="D1" s="83"/>
      <c r="E1" s="83"/>
      <c r="F1" s="28"/>
      <c r="G1" s="28"/>
    </row>
    <row r="2" spans="1:7" ht="18.75">
      <c r="A2" s="83" t="s">
        <v>13</v>
      </c>
      <c r="B2" s="83"/>
      <c r="C2" s="83"/>
      <c r="D2" s="83"/>
      <c r="E2" s="83"/>
      <c r="F2" s="28"/>
      <c r="G2" s="28"/>
    </row>
    <row r="4" spans="1:7" ht="112.5">
      <c r="A4" s="14" t="s">
        <v>0</v>
      </c>
      <c r="B4" s="15" t="s">
        <v>38</v>
      </c>
      <c r="C4" s="15" t="s">
        <v>33</v>
      </c>
      <c r="D4" s="16" t="s">
        <v>49</v>
      </c>
      <c r="E4" s="16" t="s">
        <v>37</v>
      </c>
      <c r="F4" s="16" t="s">
        <v>101</v>
      </c>
      <c r="G4" s="16" t="s">
        <v>102</v>
      </c>
    </row>
    <row r="5" spans="1:7" s="31" customFormat="1" ht="18.75">
      <c r="A5" s="84" t="s">
        <v>35</v>
      </c>
      <c r="B5" s="85"/>
      <c r="C5" s="85"/>
      <c r="D5" s="85"/>
      <c r="E5" s="86"/>
      <c r="F5" s="30"/>
      <c r="G5" s="30"/>
    </row>
    <row r="6" spans="1:7" s="31" customFormat="1" ht="18.75">
      <c r="A6" s="1">
        <v>1</v>
      </c>
      <c r="B6" s="2" t="s">
        <v>61</v>
      </c>
      <c r="C6" s="24" t="s">
        <v>103</v>
      </c>
      <c r="D6" s="3">
        <f>11946.88+3690</f>
        <v>15636.88</v>
      </c>
      <c r="E6" s="4">
        <f>D6*1.07</f>
        <v>16731.4616</v>
      </c>
      <c r="F6" s="4">
        <v>13302.84776</v>
      </c>
      <c r="G6" s="4">
        <f>E6-F6</f>
        <v>3428.613839999998</v>
      </c>
    </row>
    <row r="7" spans="1:7" s="31" customFormat="1" ht="18.75">
      <c r="A7" s="1">
        <v>2</v>
      </c>
      <c r="B7" s="2" t="s">
        <v>58</v>
      </c>
      <c r="C7" s="24"/>
      <c r="D7" s="4">
        <f>D9+D10+D11+D12</f>
        <v>19710.421000000002</v>
      </c>
      <c r="E7" s="4">
        <f>E9+E10+E11+E12</f>
        <v>21090.15047</v>
      </c>
      <c r="F7" s="4">
        <f>F9+F10+F11+F12</f>
        <v>21083.031759999998</v>
      </c>
      <c r="G7" s="4">
        <f>G9+G10+G11+G12</f>
        <v>7.118710000000476</v>
      </c>
    </row>
    <row r="8" spans="1:7" s="32" customFormat="1" ht="18.75">
      <c r="A8" s="5"/>
      <c r="B8" s="6" t="s">
        <v>59</v>
      </c>
      <c r="C8" s="25"/>
      <c r="D8" s="20"/>
      <c r="E8" s="20"/>
      <c r="F8" s="20"/>
      <c r="G8" s="20"/>
    </row>
    <row r="9" spans="1:7" s="32" customFormat="1" ht="56.25">
      <c r="A9" s="5" t="s">
        <v>7</v>
      </c>
      <c r="B9" s="21" t="s">
        <v>62</v>
      </c>
      <c r="C9" s="26" t="s">
        <v>104</v>
      </c>
      <c r="D9" s="7">
        <f>17*18.836+3*15.178</f>
        <v>365.746</v>
      </c>
      <c r="E9" s="8">
        <f>D9*1.07</f>
        <v>391.34822</v>
      </c>
      <c r="F9" s="8">
        <v>385.20000000000005</v>
      </c>
      <c r="G9" s="8">
        <f aca="true" t="shared" si="0" ref="G9:G72">E9-F9</f>
        <v>6.148219999999981</v>
      </c>
    </row>
    <row r="10" spans="1:7" s="32" customFormat="1" ht="56.25">
      <c r="A10" s="5" t="s">
        <v>8</v>
      </c>
      <c r="B10" s="21" t="s">
        <v>50</v>
      </c>
      <c r="C10" s="26" t="s">
        <v>105</v>
      </c>
      <c r="D10" s="7">
        <f>30*18.836</f>
        <v>565.0799999999999</v>
      </c>
      <c r="E10" s="8">
        <f>D10*1.07</f>
        <v>604.6356</v>
      </c>
      <c r="F10" s="8">
        <v>481.5</v>
      </c>
      <c r="G10" s="8">
        <f t="shared" si="0"/>
        <v>123.13559999999995</v>
      </c>
    </row>
    <row r="11" spans="1:7" s="32" customFormat="1" ht="56.25">
      <c r="A11" s="5" t="s">
        <v>9</v>
      </c>
      <c r="B11" s="21" t="s">
        <v>51</v>
      </c>
      <c r="C11" s="26" t="s">
        <v>106</v>
      </c>
      <c r="D11" s="7">
        <f>40*52</f>
        <v>2080</v>
      </c>
      <c r="E11" s="8">
        <f>D11*1.07</f>
        <v>2225.6</v>
      </c>
      <c r="F11" s="8">
        <v>2347.33176</v>
      </c>
      <c r="G11" s="8">
        <f t="shared" si="0"/>
        <v>-121.73176000000012</v>
      </c>
    </row>
    <row r="12" spans="1:7" s="32" customFormat="1" ht="56.25">
      <c r="A12" s="5" t="s">
        <v>10</v>
      </c>
      <c r="B12" s="21" t="s">
        <v>14</v>
      </c>
      <c r="C12" s="26"/>
      <c r="D12" s="7">
        <v>16699.595</v>
      </c>
      <c r="E12" s="8">
        <f>D12*1.07</f>
        <v>17868.56665</v>
      </c>
      <c r="F12" s="8">
        <v>17869</v>
      </c>
      <c r="G12" s="8">
        <f t="shared" si="0"/>
        <v>-0.43334999999933643</v>
      </c>
    </row>
    <row r="13" spans="1:7" s="31" customFormat="1" ht="18.75">
      <c r="A13" s="1" t="s">
        <v>48</v>
      </c>
      <c r="B13" s="2" t="s">
        <v>60</v>
      </c>
      <c r="C13" s="24"/>
      <c r="D13" s="4">
        <f>D15+D16</f>
        <v>28674.107142857138</v>
      </c>
      <c r="E13" s="4">
        <f>E15+E16</f>
        <v>30681.29464285714</v>
      </c>
      <c r="F13" s="4">
        <f>F15+F16</f>
        <v>31329.600000000002</v>
      </c>
      <c r="G13" s="4">
        <f>G15+G16</f>
        <v>-648.3053571428609</v>
      </c>
    </row>
    <row r="14" spans="1:7" s="32" customFormat="1" ht="18.75">
      <c r="A14" s="5"/>
      <c r="B14" s="6" t="s">
        <v>59</v>
      </c>
      <c r="C14" s="25"/>
      <c r="D14" s="7"/>
      <c r="E14" s="8"/>
      <c r="F14" s="8"/>
      <c r="G14" s="8">
        <f t="shared" si="0"/>
        <v>0</v>
      </c>
    </row>
    <row r="15" spans="1:7" s="32" customFormat="1" ht="18.75">
      <c r="A15" s="5" t="s">
        <v>11</v>
      </c>
      <c r="B15" s="21" t="s">
        <v>44</v>
      </c>
      <c r="C15" s="26" t="s">
        <v>107</v>
      </c>
      <c r="D15" s="7">
        <f>17295/1.12</f>
        <v>15441.964285714284</v>
      </c>
      <c r="E15" s="8">
        <f>D15*1.07</f>
        <v>16522.901785714286</v>
      </c>
      <c r="F15" s="8">
        <v>16050.000000000002</v>
      </c>
      <c r="G15" s="8">
        <f t="shared" si="0"/>
        <v>472.9017857142844</v>
      </c>
    </row>
    <row r="16" spans="1:7" s="32" customFormat="1" ht="18.75">
      <c r="A16" s="5" t="s">
        <v>12</v>
      </c>
      <c r="B16" s="21" t="s">
        <v>29</v>
      </c>
      <c r="C16" s="26" t="s">
        <v>108</v>
      </c>
      <c r="D16" s="7">
        <f>2470/1.12*6</f>
        <v>13232.142857142855</v>
      </c>
      <c r="E16" s="8">
        <f>D16*1.07</f>
        <v>14158.392857142855</v>
      </c>
      <c r="F16" s="8">
        <v>15279.6</v>
      </c>
      <c r="G16" s="8">
        <f t="shared" si="0"/>
        <v>-1121.2071428571453</v>
      </c>
    </row>
    <row r="17" spans="1:7" s="31" customFormat="1" ht="18.75">
      <c r="A17" s="1" t="s">
        <v>15</v>
      </c>
      <c r="B17" s="22" t="s">
        <v>63</v>
      </c>
      <c r="C17" s="24"/>
      <c r="D17" s="4">
        <f>SUM(D19:D24)</f>
        <v>10252.529999999999</v>
      </c>
      <c r="E17" s="4">
        <f>SUM(E19:E24)</f>
        <v>10970.2071</v>
      </c>
      <c r="F17" s="4">
        <f>SUM(F19:F24)</f>
        <v>11027.124</v>
      </c>
      <c r="G17" s="4">
        <f>SUM(G19:G24)</f>
        <v>-56.91689999999994</v>
      </c>
    </row>
    <row r="18" spans="1:7" s="32" customFormat="1" ht="18.75">
      <c r="A18" s="5"/>
      <c r="B18" s="21" t="s">
        <v>39</v>
      </c>
      <c r="C18" s="26"/>
      <c r="D18" s="7"/>
      <c r="E18" s="8"/>
      <c r="F18" s="8"/>
      <c r="G18" s="8">
        <f t="shared" si="0"/>
        <v>0</v>
      </c>
    </row>
    <row r="19" spans="1:7" s="32" customFormat="1" ht="18.75">
      <c r="A19" s="5" t="s">
        <v>16</v>
      </c>
      <c r="B19" s="6" t="s">
        <v>66</v>
      </c>
      <c r="C19" s="25"/>
      <c r="D19" s="7">
        <v>1763.55</v>
      </c>
      <c r="E19" s="8">
        <f aca="true" t="shared" si="1" ref="E19:E24">D19*1.07</f>
        <v>1886.9985000000001</v>
      </c>
      <c r="F19" s="8">
        <v>1887</v>
      </c>
      <c r="G19" s="8">
        <f t="shared" si="0"/>
        <v>-0.0014999999998508429</v>
      </c>
    </row>
    <row r="20" spans="1:7" s="32" customFormat="1" ht="18.75">
      <c r="A20" s="5" t="s">
        <v>17</v>
      </c>
      <c r="B20" s="6" t="s">
        <v>57</v>
      </c>
      <c r="C20" s="25"/>
      <c r="D20" s="7">
        <v>760</v>
      </c>
      <c r="E20" s="8">
        <f t="shared" si="1"/>
        <v>813.2</v>
      </c>
      <c r="F20" s="8">
        <f>E20*1.07</f>
        <v>870.1240000000001</v>
      </c>
      <c r="G20" s="8">
        <f t="shared" si="0"/>
        <v>-56.92400000000009</v>
      </c>
    </row>
    <row r="21" spans="1:7" s="32" customFormat="1" ht="18.75">
      <c r="A21" s="5" t="s">
        <v>18</v>
      </c>
      <c r="B21" s="6" t="s">
        <v>67</v>
      </c>
      <c r="C21" s="25"/>
      <c r="D21" s="7">
        <v>240.2</v>
      </c>
      <c r="E21" s="8">
        <f t="shared" si="1"/>
        <v>257.014</v>
      </c>
      <c r="F21" s="8">
        <v>257</v>
      </c>
      <c r="G21" s="8">
        <f t="shared" si="0"/>
        <v>0.014000000000010004</v>
      </c>
    </row>
    <row r="22" spans="1:7" s="32" customFormat="1" ht="18.75">
      <c r="A22" s="5" t="s">
        <v>19</v>
      </c>
      <c r="B22" s="6" t="s">
        <v>68</v>
      </c>
      <c r="C22" s="25"/>
      <c r="D22" s="7">
        <v>1900</v>
      </c>
      <c r="E22" s="8">
        <f t="shared" si="1"/>
        <v>2033.0000000000002</v>
      </c>
      <c r="F22" s="8">
        <v>2033</v>
      </c>
      <c r="G22" s="8">
        <f t="shared" si="0"/>
        <v>0</v>
      </c>
    </row>
    <row r="23" spans="1:7" s="32" customFormat="1" ht="18.75">
      <c r="A23" s="5" t="s">
        <v>64</v>
      </c>
      <c r="B23" s="6" t="s">
        <v>69</v>
      </c>
      <c r="C23" s="25"/>
      <c r="D23" s="7">
        <v>1080.37</v>
      </c>
      <c r="E23" s="8">
        <f t="shared" si="1"/>
        <v>1155.9959</v>
      </c>
      <c r="F23" s="8">
        <v>1156</v>
      </c>
      <c r="G23" s="8">
        <f t="shared" si="0"/>
        <v>-0.004100000000107684</v>
      </c>
    </row>
    <row r="24" spans="1:7" s="32" customFormat="1" ht="18.75">
      <c r="A24" s="5" t="s">
        <v>65</v>
      </c>
      <c r="B24" s="6" t="s">
        <v>70</v>
      </c>
      <c r="C24" s="25"/>
      <c r="D24" s="7">
        <v>4508.41</v>
      </c>
      <c r="E24" s="8">
        <f t="shared" si="1"/>
        <v>4823.9987</v>
      </c>
      <c r="F24" s="8">
        <v>4824</v>
      </c>
      <c r="G24" s="8">
        <f t="shared" si="0"/>
        <v>-0.001299999999901047</v>
      </c>
    </row>
    <row r="25" spans="1:7" s="31" customFormat="1" ht="37.5">
      <c r="A25" s="1" t="s">
        <v>20</v>
      </c>
      <c r="B25" s="22" t="s">
        <v>77</v>
      </c>
      <c r="C25" s="24"/>
      <c r="D25" s="4">
        <f>D27+D28+D29+D30</f>
        <v>4702.94</v>
      </c>
      <c r="E25" s="4">
        <f>E27+E28+E29+E30</f>
        <v>5032.1458</v>
      </c>
      <c r="F25" s="4">
        <f>F27+F28+F29+F30</f>
        <v>3560.96</v>
      </c>
      <c r="G25" s="4">
        <f>G27+G28+G29+G30</f>
        <v>1471.1858000000002</v>
      </c>
    </row>
    <row r="26" spans="1:7" s="33" customFormat="1" ht="18.75">
      <c r="A26" s="5"/>
      <c r="B26" s="21" t="s">
        <v>39</v>
      </c>
      <c r="C26" s="26"/>
      <c r="D26" s="7"/>
      <c r="E26" s="8"/>
      <c r="F26" s="8"/>
      <c r="G26" s="8">
        <f t="shared" si="0"/>
        <v>0</v>
      </c>
    </row>
    <row r="27" spans="1:7" s="33" customFormat="1" ht="18.75">
      <c r="A27" s="5" t="s">
        <v>21</v>
      </c>
      <c r="B27" s="21" t="s">
        <v>40</v>
      </c>
      <c r="C27" s="26"/>
      <c r="D27" s="7">
        <f>168.78*13</f>
        <v>2194.14</v>
      </c>
      <c r="E27" s="8">
        <f>D27*1.07</f>
        <v>2347.7298</v>
      </c>
      <c r="F27" s="8">
        <v>2347.58</v>
      </c>
      <c r="G27" s="8">
        <f t="shared" si="0"/>
        <v>0.14980000000014115</v>
      </c>
    </row>
    <row r="28" spans="1:7" s="33" customFormat="1" ht="18.75">
      <c r="A28" s="5" t="s">
        <v>22</v>
      </c>
      <c r="B28" s="21" t="s">
        <v>43</v>
      </c>
      <c r="C28" s="26"/>
      <c r="D28" s="7">
        <f>43.96*10</f>
        <v>439.6</v>
      </c>
      <c r="E28" s="8">
        <f>D28*1.07</f>
        <v>470.37200000000007</v>
      </c>
      <c r="F28" s="8">
        <v>477.22</v>
      </c>
      <c r="G28" s="8">
        <f t="shared" si="0"/>
        <v>-6.847999999999956</v>
      </c>
    </row>
    <row r="29" spans="1:7" s="33" customFormat="1" ht="18.75">
      <c r="A29" s="5" t="s">
        <v>23</v>
      </c>
      <c r="B29" s="21" t="s">
        <v>71</v>
      </c>
      <c r="C29" s="26"/>
      <c r="D29" s="7">
        <f>15*39.286+148</f>
        <v>737.29</v>
      </c>
      <c r="E29" s="8">
        <f>D29*1.07</f>
        <v>788.9003</v>
      </c>
      <c r="F29" s="8">
        <v>736.1600000000001</v>
      </c>
      <c r="G29" s="8">
        <f t="shared" si="0"/>
        <v>52.740299999999934</v>
      </c>
    </row>
    <row r="30" spans="1:7" s="33" customFormat="1" ht="37.5">
      <c r="A30" s="5" t="s">
        <v>56</v>
      </c>
      <c r="B30" s="21" t="s">
        <v>55</v>
      </c>
      <c r="C30" s="26"/>
      <c r="D30" s="7">
        <v>1331.91</v>
      </c>
      <c r="E30" s="8">
        <f>D30*1.07</f>
        <v>1425.1437</v>
      </c>
      <c r="F30" s="8"/>
      <c r="G30" s="8">
        <f t="shared" si="0"/>
        <v>1425.1437</v>
      </c>
    </row>
    <row r="31" spans="1:7" s="31" customFormat="1" ht="18.75">
      <c r="A31" s="1" t="s">
        <v>24</v>
      </c>
      <c r="B31" s="2" t="s">
        <v>86</v>
      </c>
      <c r="C31" s="24"/>
      <c r="D31" s="3">
        <v>3133.339</v>
      </c>
      <c r="E31" s="4">
        <f>D31*1.07</f>
        <v>3352.6727300000002</v>
      </c>
      <c r="F31" s="4">
        <v>4122.71</v>
      </c>
      <c r="G31" s="4">
        <f t="shared" si="0"/>
        <v>-770.0372699999998</v>
      </c>
    </row>
    <row r="32" spans="1:7" s="31" customFormat="1" ht="18.75">
      <c r="A32" s="1" t="s">
        <v>27</v>
      </c>
      <c r="B32" s="22" t="s">
        <v>78</v>
      </c>
      <c r="C32" s="24"/>
      <c r="D32" s="4">
        <f>D34+D35</f>
        <v>8567.990000000002</v>
      </c>
      <c r="E32" s="4">
        <f>E34+E35</f>
        <v>9167.749300000001</v>
      </c>
      <c r="F32" s="4">
        <f>F34+F35</f>
        <v>8239</v>
      </c>
      <c r="G32" s="4">
        <f>G34+G35</f>
        <v>928.7493000000013</v>
      </c>
    </row>
    <row r="33" spans="1:7" s="32" customFormat="1" ht="18.75">
      <c r="A33" s="5"/>
      <c r="B33" s="21" t="s">
        <v>59</v>
      </c>
      <c r="C33" s="26"/>
      <c r="D33" s="8"/>
      <c r="E33" s="8"/>
      <c r="F33" s="8"/>
      <c r="G33" s="8">
        <f t="shared" si="0"/>
        <v>0</v>
      </c>
    </row>
    <row r="34" spans="1:7" s="32" customFormat="1" ht="18.75">
      <c r="A34" s="5" t="s">
        <v>84</v>
      </c>
      <c r="B34" s="21" t="s">
        <v>80</v>
      </c>
      <c r="C34" s="26"/>
      <c r="D34" s="7">
        <f>5*892.02</f>
        <v>4460.1</v>
      </c>
      <c r="E34" s="8">
        <f>D34*1.07</f>
        <v>4772.307000000001</v>
      </c>
      <c r="F34" s="8">
        <v>4494</v>
      </c>
      <c r="G34" s="8">
        <f t="shared" si="0"/>
        <v>278.3070000000007</v>
      </c>
    </row>
    <row r="35" spans="1:7" s="32" customFormat="1" ht="18.75">
      <c r="A35" s="5" t="s">
        <v>85</v>
      </c>
      <c r="B35" s="21" t="s">
        <v>82</v>
      </c>
      <c r="C35" s="26"/>
      <c r="D35" s="7">
        <f>4107.89</f>
        <v>4107.89</v>
      </c>
      <c r="E35" s="8">
        <f>D35*1.07</f>
        <v>4395.442300000001</v>
      </c>
      <c r="F35" s="8">
        <v>3745</v>
      </c>
      <c r="G35" s="8">
        <f t="shared" si="0"/>
        <v>650.4423000000006</v>
      </c>
    </row>
    <row r="36" spans="1:7" s="31" customFormat="1" ht="18.75">
      <c r="A36" s="90" t="s">
        <v>87</v>
      </c>
      <c r="B36" s="91"/>
      <c r="C36" s="92"/>
      <c r="D36" s="3">
        <f>D32+D31+D25+D17+D13+D7+D6</f>
        <v>90678.20714285714</v>
      </c>
      <c r="E36" s="3">
        <f>E32+E31+E25+E17+E13+E7+E6</f>
        <v>97025.68164285713</v>
      </c>
      <c r="F36" s="3">
        <f>F32+F31+F25+F17+F13+F7+F6</f>
        <v>92665.27352</v>
      </c>
      <c r="G36" s="3">
        <f>G32+G31+G25+G17+G13+G7+G6</f>
        <v>4360.4081228571395</v>
      </c>
    </row>
    <row r="37" spans="1:7" ht="18.75">
      <c r="A37" s="93" t="s">
        <v>34</v>
      </c>
      <c r="B37" s="94"/>
      <c r="C37" s="94"/>
      <c r="D37" s="94"/>
      <c r="E37" s="95"/>
      <c r="F37" s="28"/>
      <c r="G37" s="28">
        <f t="shared" si="0"/>
        <v>0</v>
      </c>
    </row>
    <row r="38" spans="1:7" s="35" customFormat="1" ht="18.75">
      <c r="A38" s="34" t="s">
        <v>46</v>
      </c>
      <c r="B38" s="2" t="s">
        <v>61</v>
      </c>
      <c r="C38" s="24"/>
      <c r="D38" s="3">
        <f>22920.366/1.12</f>
        <v>20464.6125</v>
      </c>
      <c r="E38" s="4">
        <f>D38*1.07*1.07</f>
        <v>23429.934851250004</v>
      </c>
      <c r="F38" s="4">
        <v>23454.1763914</v>
      </c>
      <c r="G38" s="4">
        <f t="shared" si="0"/>
        <v>-24.24154014999658</v>
      </c>
    </row>
    <row r="39" spans="1:7" s="36" customFormat="1" ht="18.75">
      <c r="A39" s="13" t="s">
        <v>47</v>
      </c>
      <c r="B39" s="2" t="s">
        <v>58</v>
      </c>
      <c r="C39" s="24"/>
      <c r="D39" s="4">
        <f>SUM(D41:D43)</f>
        <v>2991.99</v>
      </c>
      <c r="E39" s="4">
        <f>SUM(E41:E43)</f>
        <v>3425.529351</v>
      </c>
      <c r="F39" s="4">
        <f>SUM(F41:F43)</f>
        <v>3439.0139832000004</v>
      </c>
      <c r="G39" s="4">
        <f>SUM(G41:G43)</f>
        <v>-13.48463220000059</v>
      </c>
    </row>
    <row r="40" spans="1:7" s="36" customFormat="1" ht="18.75">
      <c r="A40" s="13"/>
      <c r="B40" s="21" t="s">
        <v>39</v>
      </c>
      <c r="C40" s="26"/>
      <c r="D40" s="7"/>
      <c r="E40" s="8"/>
      <c r="F40" s="8"/>
      <c r="G40" s="8">
        <f t="shared" si="0"/>
        <v>0</v>
      </c>
    </row>
    <row r="41" spans="1:7" s="36" customFormat="1" ht="56.25">
      <c r="A41" s="13" t="s">
        <v>7</v>
      </c>
      <c r="B41" s="21" t="s">
        <v>52</v>
      </c>
      <c r="C41" s="26"/>
      <c r="D41" s="7">
        <f>16*18.836+3*15.178</f>
        <v>346.90999999999997</v>
      </c>
      <c r="E41" s="8">
        <f>D41*1.07*1.07</f>
        <v>397.177259</v>
      </c>
      <c r="F41" s="8">
        <v>412.1640000000001</v>
      </c>
      <c r="G41" s="8">
        <f t="shared" si="0"/>
        <v>-14.986741000000109</v>
      </c>
    </row>
    <row r="42" spans="1:7" s="36" customFormat="1" ht="56.25">
      <c r="A42" s="13" t="s">
        <v>8</v>
      </c>
      <c r="B42" s="21" t="s">
        <v>50</v>
      </c>
      <c r="C42" s="26"/>
      <c r="D42" s="7">
        <f>30*18.836</f>
        <v>565.0799999999999</v>
      </c>
      <c r="E42" s="8">
        <f>D42*1.07*1.07</f>
        <v>646.960092</v>
      </c>
      <c r="F42" s="8">
        <v>515.205</v>
      </c>
      <c r="G42" s="8">
        <f t="shared" si="0"/>
        <v>131.755092</v>
      </c>
    </row>
    <row r="43" spans="1:7" s="36" customFormat="1" ht="56.25">
      <c r="A43" s="13" t="s">
        <v>9</v>
      </c>
      <c r="B43" s="21" t="s">
        <v>51</v>
      </c>
      <c r="C43" s="26"/>
      <c r="D43" s="7">
        <f>40*52</f>
        <v>2080</v>
      </c>
      <c r="E43" s="8">
        <f>D43*1.07*1.07</f>
        <v>2381.392</v>
      </c>
      <c r="F43" s="8">
        <v>2511.6449832000003</v>
      </c>
      <c r="G43" s="8">
        <f t="shared" si="0"/>
        <v>-130.25298320000047</v>
      </c>
    </row>
    <row r="44" spans="1:7" s="37" customFormat="1" ht="18.75">
      <c r="A44" s="9" t="s">
        <v>48</v>
      </c>
      <c r="B44" s="2" t="s">
        <v>60</v>
      </c>
      <c r="C44" s="24"/>
      <c r="D44" s="4">
        <f>SUM(D46:D47)</f>
        <v>27151.78571428571</v>
      </c>
      <c r="E44" s="4">
        <f>SUM(E46:E47)</f>
        <v>31086.07946428571</v>
      </c>
      <c r="F44" s="4">
        <f>SUM(F46:F47)</f>
        <v>31645.036</v>
      </c>
      <c r="G44" s="4">
        <f>SUM(G46:G47)</f>
        <v>-558.9565357142901</v>
      </c>
    </row>
    <row r="45" spans="1:7" s="37" customFormat="1" ht="18.75">
      <c r="A45" s="9"/>
      <c r="B45" s="21" t="s">
        <v>39</v>
      </c>
      <c r="C45" s="26"/>
      <c r="D45" s="17"/>
      <c r="E45" s="8"/>
      <c r="F45" s="8"/>
      <c r="G45" s="8">
        <f t="shared" si="0"/>
        <v>0</v>
      </c>
    </row>
    <row r="46" spans="1:7" s="37" customFormat="1" ht="18.75">
      <c r="A46" s="9" t="s">
        <v>11</v>
      </c>
      <c r="B46" s="21" t="s">
        <v>45</v>
      </c>
      <c r="C46" s="26"/>
      <c r="D46" s="7">
        <f>2470/1.12*3</f>
        <v>6616.0714285714275</v>
      </c>
      <c r="E46" s="8">
        <f>D46*1.07*1.07</f>
        <v>7574.740178571428</v>
      </c>
      <c r="F46" s="8">
        <v>8174.586</v>
      </c>
      <c r="G46" s="8">
        <f t="shared" si="0"/>
        <v>-599.845821428572</v>
      </c>
    </row>
    <row r="47" spans="1:7" s="37" customFormat="1" ht="18.75">
      <c r="A47" s="9" t="s">
        <v>12</v>
      </c>
      <c r="B47" s="21" t="s">
        <v>30</v>
      </c>
      <c r="C47" s="26"/>
      <c r="D47" s="7">
        <f>23000/1.12</f>
        <v>20535.714285714283</v>
      </c>
      <c r="E47" s="8">
        <f>D47*1.07*1.07</f>
        <v>23511.339285714283</v>
      </c>
      <c r="F47" s="8">
        <v>23470.45</v>
      </c>
      <c r="G47" s="8">
        <f t="shared" si="0"/>
        <v>40.88928571428187</v>
      </c>
    </row>
    <row r="48" spans="1:7" s="37" customFormat="1" ht="18.75">
      <c r="A48" s="9" t="s">
        <v>15</v>
      </c>
      <c r="B48" s="22" t="s">
        <v>63</v>
      </c>
      <c r="C48" s="24"/>
      <c r="D48" s="4">
        <f>SUM(D50:D60)</f>
        <v>6856.9</v>
      </c>
      <c r="E48" s="4">
        <f>SUM(E50:E60)</f>
        <v>7850.464810000001</v>
      </c>
      <c r="F48" s="4">
        <f>SUM(F50:F60)</f>
        <v>7850.558000000001</v>
      </c>
      <c r="G48" s="4">
        <f>SUM(G50:G60)</f>
        <v>-0.09318999999960198</v>
      </c>
    </row>
    <row r="49" spans="1:7" s="37" customFormat="1" ht="18.75">
      <c r="A49" s="9"/>
      <c r="B49" s="21" t="s">
        <v>39</v>
      </c>
      <c r="C49" s="26"/>
      <c r="D49" s="7"/>
      <c r="E49" s="8"/>
      <c r="F49" s="8"/>
      <c r="G49" s="8">
        <f t="shared" si="0"/>
        <v>0</v>
      </c>
    </row>
    <row r="50" spans="1:7" s="37" customFormat="1" ht="18.75">
      <c r="A50" s="9" t="s">
        <v>16</v>
      </c>
      <c r="B50" s="21" t="s">
        <v>68</v>
      </c>
      <c r="C50" s="26"/>
      <c r="D50" s="7">
        <v>1900</v>
      </c>
      <c r="E50" s="8">
        <f>D50*1.07*1.07</f>
        <v>2175.3100000000004</v>
      </c>
      <c r="F50" s="8">
        <v>2175.3100000000004</v>
      </c>
      <c r="G50" s="8">
        <f t="shared" si="0"/>
        <v>0</v>
      </c>
    </row>
    <row r="51" spans="1:7" s="37" customFormat="1" ht="18.75">
      <c r="A51" s="9" t="s">
        <v>17</v>
      </c>
      <c r="B51" s="21" t="s">
        <v>2</v>
      </c>
      <c r="C51" s="26"/>
      <c r="D51" s="7">
        <v>418.38</v>
      </c>
      <c r="E51" s="8">
        <f aca="true" t="shared" si="2" ref="E51:E60">D51*1.07*1.07</f>
        <v>479.00326200000006</v>
      </c>
      <c r="F51" s="8">
        <v>479</v>
      </c>
      <c r="G51" s="8">
        <f t="shared" si="0"/>
        <v>0.003262000000063381</v>
      </c>
    </row>
    <row r="52" spans="1:7" s="37" customFormat="1" ht="18.75">
      <c r="A52" s="9" t="s">
        <v>18</v>
      </c>
      <c r="B52" s="21" t="s">
        <v>72</v>
      </c>
      <c r="C52" s="26"/>
      <c r="D52" s="7">
        <v>334.53</v>
      </c>
      <c r="E52" s="8">
        <f t="shared" si="2"/>
        <v>383.003397</v>
      </c>
      <c r="F52" s="8">
        <v>383</v>
      </c>
      <c r="G52" s="8">
        <f t="shared" si="0"/>
        <v>0.0033970000000067557</v>
      </c>
    </row>
    <row r="53" spans="1:7" s="36" customFormat="1" ht="18.75">
      <c r="A53" s="9" t="s">
        <v>19</v>
      </c>
      <c r="B53" s="21" t="s">
        <v>3</v>
      </c>
      <c r="C53" s="26"/>
      <c r="D53" s="7">
        <v>19.2</v>
      </c>
      <c r="E53" s="8">
        <f t="shared" si="2"/>
        <v>21.982080000000003</v>
      </c>
      <c r="F53" s="8">
        <v>22</v>
      </c>
      <c r="G53" s="8">
        <f t="shared" si="0"/>
        <v>-0.017919999999996605</v>
      </c>
    </row>
    <row r="54" spans="1:7" s="36" customFormat="1" ht="18.75">
      <c r="A54" s="9" t="s">
        <v>64</v>
      </c>
      <c r="B54" s="21" t="s">
        <v>4</v>
      </c>
      <c r="C54" s="26"/>
      <c r="D54" s="7">
        <v>44.55</v>
      </c>
      <c r="E54" s="8">
        <f t="shared" si="2"/>
        <v>51.005295000000004</v>
      </c>
      <c r="F54" s="8">
        <v>51</v>
      </c>
      <c r="G54" s="8">
        <f t="shared" si="0"/>
        <v>0.005295000000003824</v>
      </c>
    </row>
    <row r="55" spans="1:7" s="36" customFormat="1" ht="18.75">
      <c r="A55" s="9" t="s">
        <v>65</v>
      </c>
      <c r="B55" s="21" t="s">
        <v>73</v>
      </c>
      <c r="C55" s="26"/>
      <c r="D55" s="7">
        <v>134.5</v>
      </c>
      <c r="E55" s="8">
        <f t="shared" si="2"/>
        <v>153.98905000000002</v>
      </c>
      <c r="F55" s="8">
        <v>154</v>
      </c>
      <c r="G55" s="8">
        <f t="shared" si="0"/>
        <v>-0.01094999999997981</v>
      </c>
    </row>
    <row r="56" spans="1:7" s="36" customFormat="1" ht="18.75">
      <c r="A56" s="9" t="s">
        <v>94</v>
      </c>
      <c r="B56" s="21" t="s">
        <v>5</v>
      </c>
      <c r="C56" s="26"/>
      <c r="D56" s="7">
        <v>524</v>
      </c>
      <c r="E56" s="8">
        <f t="shared" si="2"/>
        <v>599.9276000000001</v>
      </c>
      <c r="F56" s="8">
        <v>600</v>
      </c>
      <c r="G56" s="8">
        <f t="shared" si="0"/>
        <v>-0.07239999999990232</v>
      </c>
    </row>
    <row r="57" spans="1:7" s="36" customFormat="1" ht="18.75">
      <c r="A57" s="9" t="s">
        <v>95</v>
      </c>
      <c r="B57" s="21" t="s">
        <v>74</v>
      </c>
      <c r="C57" s="26"/>
      <c r="D57" s="7">
        <v>1194.86</v>
      </c>
      <c r="E57" s="8">
        <f t="shared" si="2"/>
        <v>1367.995214</v>
      </c>
      <c r="F57" s="8">
        <v>1368</v>
      </c>
      <c r="G57" s="8">
        <f t="shared" si="0"/>
        <v>-0.004785999999967316</v>
      </c>
    </row>
    <row r="58" spans="1:7" s="36" customFormat="1" ht="18.75">
      <c r="A58" s="9" t="s">
        <v>96</v>
      </c>
      <c r="B58" s="21" t="s">
        <v>75</v>
      </c>
      <c r="C58" s="26"/>
      <c r="D58" s="7">
        <v>69.88</v>
      </c>
      <c r="E58" s="8">
        <f t="shared" si="2"/>
        <v>80.00561200000001</v>
      </c>
      <c r="F58" s="8">
        <v>80</v>
      </c>
      <c r="G58" s="8">
        <f t="shared" si="0"/>
        <v>0.005612000000013495</v>
      </c>
    </row>
    <row r="59" spans="1:7" s="36" customFormat="1" ht="18.75">
      <c r="A59" s="9" t="s">
        <v>97</v>
      </c>
      <c r="B59" s="21" t="s">
        <v>6</v>
      </c>
      <c r="C59" s="26"/>
      <c r="D59" s="7">
        <v>697</v>
      </c>
      <c r="E59" s="8">
        <f t="shared" si="2"/>
        <v>797.9953000000002</v>
      </c>
      <c r="F59" s="8">
        <v>798</v>
      </c>
      <c r="G59" s="8">
        <f t="shared" si="0"/>
        <v>-0.004699999999843385</v>
      </c>
    </row>
    <row r="60" spans="1:7" s="36" customFormat="1" ht="18.75">
      <c r="A60" s="9" t="s">
        <v>98</v>
      </c>
      <c r="B60" s="21" t="s">
        <v>76</v>
      </c>
      <c r="C60" s="26"/>
      <c r="D60" s="7">
        <v>1520</v>
      </c>
      <c r="E60" s="8">
        <f t="shared" si="2"/>
        <v>1740.2480000000003</v>
      </c>
      <c r="F60" s="8">
        <v>1740.2480000000003</v>
      </c>
      <c r="G60" s="8">
        <f t="shared" si="0"/>
        <v>0</v>
      </c>
    </row>
    <row r="61" spans="1:7" s="36" customFormat="1" ht="37.5">
      <c r="A61" s="10" t="s">
        <v>20</v>
      </c>
      <c r="B61" s="22" t="s">
        <v>77</v>
      </c>
      <c r="C61" s="24"/>
      <c r="D61" s="4">
        <f>D63+D64+D65</f>
        <v>3371.0299999999997</v>
      </c>
      <c r="E61" s="4">
        <f>E63+E64+E65</f>
        <v>3859.4922470000006</v>
      </c>
      <c r="F61" s="4">
        <f>F63+F64+F65</f>
        <v>3810.2272000000003</v>
      </c>
      <c r="G61" s="4">
        <f>G63+G64+G65</f>
        <v>49.265047000000266</v>
      </c>
    </row>
    <row r="62" spans="1:7" s="36" customFormat="1" ht="18.75">
      <c r="A62" s="11"/>
      <c r="B62" s="21" t="s">
        <v>39</v>
      </c>
      <c r="C62" s="26"/>
      <c r="D62" s="17"/>
      <c r="E62" s="8"/>
      <c r="F62" s="8"/>
      <c r="G62" s="8">
        <f t="shared" si="0"/>
        <v>0</v>
      </c>
    </row>
    <row r="63" spans="1:7" s="36" customFormat="1" ht="18.75">
      <c r="A63" s="11" t="s">
        <v>21</v>
      </c>
      <c r="B63" s="6" t="s">
        <v>40</v>
      </c>
      <c r="C63" s="25"/>
      <c r="D63" s="7">
        <f>168.78*13</f>
        <v>2194.14</v>
      </c>
      <c r="E63" s="8">
        <f>D63*1.07*1.07</f>
        <v>2512.0708860000004</v>
      </c>
      <c r="F63" s="8">
        <v>2511.9106</v>
      </c>
      <c r="G63" s="8">
        <f t="shared" si="0"/>
        <v>0.16028600000026927</v>
      </c>
    </row>
    <row r="64" spans="1:7" s="36" customFormat="1" ht="18.75">
      <c r="A64" s="11" t="s">
        <v>22</v>
      </c>
      <c r="B64" s="6" t="s">
        <v>43</v>
      </c>
      <c r="C64" s="25"/>
      <c r="D64" s="7">
        <f>43.96*10</f>
        <v>439.6</v>
      </c>
      <c r="E64" s="8">
        <f>D64*1.07*1.07</f>
        <v>503.2980400000001</v>
      </c>
      <c r="F64" s="8">
        <v>510.62540000000007</v>
      </c>
      <c r="G64" s="8">
        <f t="shared" si="0"/>
        <v>-7.327359999999942</v>
      </c>
    </row>
    <row r="65" spans="1:7" s="36" customFormat="1" ht="18.75">
      <c r="A65" s="11" t="s">
        <v>23</v>
      </c>
      <c r="B65" s="21" t="s">
        <v>71</v>
      </c>
      <c r="C65" s="25"/>
      <c r="D65" s="7">
        <f>15*39.286+148</f>
        <v>737.29</v>
      </c>
      <c r="E65" s="8">
        <f>D65*1.07*1.07</f>
        <v>844.123321</v>
      </c>
      <c r="F65" s="8">
        <v>787.6912000000001</v>
      </c>
      <c r="G65" s="8">
        <f t="shared" si="0"/>
        <v>56.43212099999994</v>
      </c>
    </row>
    <row r="66" spans="1:7" s="36" customFormat="1" ht="18.75">
      <c r="A66" s="12" t="s">
        <v>24</v>
      </c>
      <c r="B66" s="22" t="s">
        <v>88</v>
      </c>
      <c r="C66" s="24"/>
      <c r="D66" s="4">
        <f>D68+D69</f>
        <v>4303.909</v>
      </c>
      <c r="E66" s="4">
        <f>E68+E69</f>
        <v>4927.545414100001</v>
      </c>
      <c r="F66" s="4">
        <f>F68+F69</f>
        <v>5615.7345000000005</v>
      </c>
      <c r="G66" s="4">
        <f>G68+G69</f>
        <v>-688.1890859</v>
      </c>
    </row>
    <row r="67" spans="1:7" s="36" customFormat="1" ht="18.75">
      <c r="A67" s="10"/>
      <c r="B67" s="21" t="s">
        <v>59</v>
      </c>
      <c r="C67" s="26"/>
      <c r="D67" s="17"/>
      <c r="E67" s="8"/>
      <c r="F67" s="8"/>
      <c r="G67" s="8">
        <f t="shared" si="0"/>
        <v>0</v>
      </c>
    </row>
    <row r="68" spans="1:7" s="36" customFormat="1" ht="18.75">
      <c r="A68" s="11" t="s">
        <v>25</v>
      </c>
      <c r="B68" s="21" t="s">
        <v>89</v>
      </c>
      <c r="C68" s="26"/>
      <c r="D68" s="7">
        <f>2603.41</f>
        <v>2603.41</v>
      </c>
      <c r="E68" s="8">
        <f>D68*1.07*1.07</f>
        <v>2980.6441090000003</v>
      </c>
      <c r="F68" s="8">
        <v>3423.251</v>
      </c>
      <c r="G68" s="8">
        <f t="shared" si="0"/>
        <v>-442.6068909999999</v>
      </c>
    </row>
    <row r="69" spans="1:7" s="36" customFormat="1" ht="18.75">
      <c r="A69" s="11" t="s">
        <v>26</v>
      </c>
      <c r="B69" s="21" t="s">
        <v>90</v>
      </c>
      <c r="C69" s="26"/>
      <c r="D69" s="7">
        <f>1700.499</f>
        <v>1700.499</v>
      </c>
      <c r="E69" s="8">
        <f>D69*1.07*1.07</f>
        <v>1946.9013051000002</v>
      </c>
      <c r="F69" s="8">
        <v>2192.4835000000003</v>
      </c>
      <c r="G69" s="8">
        <f t="shared" si="0"/>
        <v>-245.5821949000001</v>
      </c>
    </row>
    <row r="70" spans="1:7" s="36" customFormat="1" ht="18.75">
      <c r="A70" s="11" t="s">
        <v>27</v>
      </c>
      <c r="B70" s="22" t="s">
        <v>78</v>
      </c>
      <c r="C70" s="24"/>
      <c r="D70" s="4">
        <f>SUM(D72:D75)</f>
        <v>18145.870000000003</v>
      </c>
      <c r="E70" s="4">
        <f>SUM(E72:E75)</f>
        <v>20775.206563</v>
      </c>
      <c r="F70" s="4">
        <f>SUM(F72:F75)</f>
        <v>19577.79</v>
      </c>
      <c r="G70" s="4">
        <f>SUM(G72:G75)</f>
        <v>1197.4165630000007</v>
      </c>
    </row>
    <row r="71" spans="1:7" s="36" customFormat="1" ht="18.75">
      <c r="A71" s="11"/>
      <c r="B71" s="21" t="s">
        <v>39</v>
      </c>
      <c r="C71" s="26"/>
      <c r="D71" s="17"/>
      <c r="E71" s="8"/>
      <c r="F71" s="8"/>
      <c r="G71" s="8">
        <f t="shared" si="0"/>
        <v>0</v>
      </c>
    </row>
    <row r="72" spans="1:7" s="36" customFormat="1" ht="37.5">
      <c r="A72" s="12" t="s">
        <v>84</v>
      </c>
      <c r="B72" s="21" t="s">
        <v>79</v>
      </c>
      <c r="C72" s="26"/>
      <c r="D72" s="7">
        <f>10071.35</f>
        <v>10071.35</v>
      </c>
      <c r="E72" s="8">
        <f>D72*1.07*1.07</f>
        <v>11530.688615000001</v>
      </c>
      <c r="F72" s="8">
        <v>9731.650000000001</v>
      </c>
      <c r="G72" s="8">
        <f t="shared" si="0"/>
        <v>1799.0386149999995</v>
      </c>
    </row>
    <row r="73" spans="1:7" s="36" customFormat="1" ht="18.75">
      <c r="A73" s="10" t="s">
        <v>85</v>
      </c>
      <c r="B73" s="21" t="s">
        <v>80</v>
      </c>
      <c r="C73" s="26"/>
      <c r="D73" s="7">
        <f>5*892.02</f>
        <v>4460.1</v>
      </c>
      <c r="E73" s="8">
        <f>D73*1.07*1.07</f>
        <v>5106.368490000001</v>
      </c>
      <c r="F73" s="8">
        <v>4808.58</v>
      </c>
      <c r="G73" s="8">
        <f aca="true" t="shared" si="3" ref="G73:G97">E73-F73</f>
        <v>297.7884900000008</v>
      </c>
    </row>
    <row r="74" spans="1:7" s="36" customFormat="1" ht="18.75">
      <c r="A74" s="12" t="s">
        <v>99</v>
      </c>
      <c r="B74" s="21" t="s">
        <v>81</v>
      </c>
      <c r="C74" s="26"/>
      <c r="D74" s="7">
        <v>632.76</v>
      </c>
      <c r="E74" s="8">
        <f>D74*1.07*1.07</f>
        <v>724.4469240000001</v>
      </c>
      <c r="F74" s="8">
        <v>1030.41</v>
      </c>
      <c r="G74" s="8">
        <f t="shared" si="3"/>
        <v>-305.963076</v>
      </c>
    </row>
    <row r="75" spans="1:7" s="36" customFormat="1" ht="18.75">
      <c r="A75" s="13" t="s">
        <v>100</v>
      </c>
      <c r="B75" s="21" t="s">
        <v>83</v>
      </c>
      <c r="C75" s="26"/>
      <c r="D75" s="7">
        <v>2981.66</v>
      </c>
      <c r="E75" s="8">
        <f>D75*1.07*1.07</f>
        <v>3413.7025340000005</v>
      </c>
      <c r="F75" s="8">
        <v>4007.15</v>
      </c>
      <c r="G75" s="8">
        <f t="shared" si="3"/>
        <v>-593.4474659999996</v>
      </c>
    </row>
    <row r="76" spans="1:7" s="36" customFormat="1" ht="18.75">
      <c r="A76" s="90" t="s">
        <v>91</v>
      </c>
      <c r="B76" s="91"/>
      <c r="C76" s="92"/>
      <c r="D76" s="4">
        <f>D70+D66+D61+D48+D44+D39+D38</f>
        <v>83286.0972142857</v>
      </c>
      <c r="E76" s="4">
        <f>E70+E66+E61+E48+E44+E39+E38</f>
        <v>95354.25270063571</v>
      </c>
      <c r="F76" s="4">
        <f>F70+F66+F61+F48+F44+F39+F38</f>
        <v>95392.53607460001</v>
      </c>
      <c r="G76" s="4">
        <f>G70+G66+G61+G48+G44+G39+G38</f>
        <v>-38.283373964285886</v>
      </c>
    </row>
    <row r="77" spans="1:7" ht="18.75">
      <c r="A77" s="93" t="s">
        <v>36</v>
      </c>
      <c r="B77" s="94"/>
      <c r="C77" s="94"/>
      <c r="D77" s="94"/>
      <c r="E77" s="95"/>
      <c r="F77" s="28"/>
      <c r="G77" s="28">
        <f t="shared" si="3"/>
        <v>0</v>
      </c>
    </row>
    <row r="78" spans="1:7" s="36" customFormat="1" ht="18.75">
      <c r="A78" s="13" t="s">
        <v>46</v>
      </c>
      <c r="B78" s="2" t="s">
        <v>61</v>
      </c>
      <c r="C78" s="26"/>
      <c r="D78" s="3">
        <f>52077.492/1.12</f>
        <v>46497.76071428571</v>
      </c>
      <c r="E78" s="4">
        <f>D78*1.07*1.07*1.07</f>
        <v>56961.75627871072</v>
      </c>
      <c r="F78" s="4">
        <v>70493.78319701203</v>
      </c>
      <c r="G78" s="4">
        <f t="shared" si="3"/>
        <v>-13532.026918301308</v>
      </c>
    </row>
    <row r="79" spans="1:7" s="36" customFormat="1" ht="18.75">
      <c r="A79" s="13" t="s">
        <v>47</v>
      </c>
      <c r="B79" s="2" t="s">
        <v>58</v>
      </c>
      <c r="C79" s="24"/>
      <c r="D79" s="4">
        <f>SUM(D81:D83)</f>
        <v>3007.1679999999997</v>
      </c>
      <c r="E79" s="4">
        <f>SUM(E81:E83)</f>
        <v>3683.910108224</v>
      </c>
      <c r="F79" s="4">
        <f>SUM(F81:F83)</f>
        <v>3679.7449620240004</v>
      </c>
      <c r="G79" s="4">
        <f>SUM(G81:G83)</f>
        <v>4.165146199999356</v>
      </c>
    </row>
    <row r="80" spans="1:7" s="36" customFormat="1" ht="18.75">
      <c r="A80" s="13"/>
      <c r="B80" s="21" t="s">
        <v>39</v>
      </c>
      <c r="C80" s="26"/>
      <c r="D80" s="17"/>
      <c r="E80" s="8"/>
      <c r="F80" s="8"/>
      <c r="G80" s="8">
        <f t="shared" si="3"/>
        <v>0</v>
      </c>
    </row>
    <row r="81" spans="1:7" s="36" customFormat="1" ht="56.25">
      <c r="A81" s="13" t="s">
        <v>7</v>
      </c>
      <c r="B81" s="21" t="s">
        <v>53</v>
      </c>
      <c r="C81" s="26"/>
      <c r="D81" s="7">
        <f>16*18.836+4*15.178</f>
        <v>362.08799999999997</v>
      </c>
      <c r="E81" s="8">
        <f>D81*1.07*1.07*1.07</f>
        <v>443.573369784</v>
      </c>
      <c r="F81" s="8">
        <v>441.01548000000014</v>
      </c>
      <c r="G81" s="8">
        <f t="shared" si="3"/>
        <v>2.557889783999883</v>
      </c>
    </row>
    <row r="82" spans="1:7" s="36" customFormat="1" ht="56.25">
      <c r="A82" s="13" t="s">
        <v>8</v>
      </c>
      <c r="B82" s="21" t="s">
        <v>50</v>
      </c>
      <c r="C82" s="26"/>
      <c r="D82" s="7">
        <f>30*18.836</f>
        <v>565.0799999999999</v>
      </c>
      <c r="E82" s="8">
        <f>D82*1.07*1.07*1.07</f>
        <v>692.2472984400001</v>
      </c>
      <c r="F82" s="8">
        <v>551.26935</v>
      </c>
      <c r="G82" s="8">
        <f t="shared" si="3"/>
        <v>140.9779484400001</v>
      </c>
    </row>
    <row r="83" spans="1:7" s="36" customFormat="1" ht="56.25">
      <c r="A83" s="13" t="s">
        <v>9</v>
      </c>
      <c r="B83" s="21" t="s">
        <v>51</v>
      </c>
      <c r="C83" s="26"/>
      <c r="D83" s="7">
        <f>40*52</f>
        <v>2080</v>
      </c>
      <c r="E83" s="8">
        <f>D83*1.07*1.07*1.07</f>
        <v>2548.0894399999997</v>
      </c>
      <c r="F83" s="8">
        <v>2687.4601320240004</v>
      </c>
      <c r="G83" s="8">
        <f t="shared" si="3"/>
        <v>-139.37069202400062</v>
      </c>
    </row>
    <row r="84" spans="1:7" s="37" customFormat="1" ht="18.75">
      <c r="A84" s="9" t="s">
        <v>48</v>
      </c>
      <c r="B84" s="2" t="s">
        <v>60</v>
      </c>
      <c r="C84" s="24"/>
      <c r="D84" s="4">
        <f>SUM(D86)</f>
        <v>2205.3571428571427</v>
      </c>
      <c r="E84" s="4">
        <f>SUM(E86)</f>
        <v>2701.657330357143</v>
      </c>
      <c r="F84" s="4">
        <f>SUM(F86)</f>
        <v>2915.602340000001</v>
      </c>
      <c r="G84" s="4">
        <f>SUM(G86)</f>
        <v>-213.9450096428577</v>
      </c>
    </row>
    <row r="85" spans="1:7" s="37" customFormat="1" ht="18.75">
      <c r="A85" s="9"/>
      <c r="B85" s="21" t="s">
        <v>39</v>
      </c>
      <c r="C85" s="26"/>
      <c r="D85" s="17"/>
      <c r="E85" s="8"/>
      <c r="F85" s="8"/>
      <c r="G85" s="8">
        <f t="shared" si="3"/>
        <v>0</v>
      </c>
    </row>
    <row r="86" spans="1:7" s="36" customFormat="1" ht="18.75">
      <c r="A86" s="13" t="s">
        <v>11</v>
      </c>
      <c r="B86" s="21" t="s">
        <v>29</v>
      </c>
      <c r="C86" s="26"/>
      <c r="D86" s="7">
        <f>2470/1.12</f>
        <v>2205.3571428571427</v>
      </c>
      <c r="E86" s="8">
        <f>D86*1.07*1.07*1.07</f>
        <v>2701.657330357143</v>
      </c>
      <c r="F86" s="8">
        <v>2915.602340000001</v>
      </c>
      <c r="G86" s="8">
        <f t="shared" si="3"/>
        <v>-213.9450096428577</v>
      </c>
    </row>
    <row r="87" spans="1:7" s="36" customFormat="1" ht="37.5">
      <c r="A87" s="13" t="s">
        <v>15</v>
      </c>
      <c r="B87" s="22" t="s">
        <v>77</v>
      </c>
      <c r="C87" s="24"/>
      <c r="D87" s="4">
        <f>D89+D90+D91</f>
        <v>3259.9300000000003</v>
      </c>
      <c r="E87" s="4">
        <f>E89+E90+E91</f>
        <v>3993.5544269900006</v>
      </c>
      <c r="F87" s="4">
        <f>F89+F90+F91</f>
        <v>4098.993878000001</v>
      </c>
      <c r="G87" s="4">
        <f>G89+G90+G91</f>
        <v>-105.43945101000043</v>
      </c>
    </row>
    <row r="88" spans="1:7" s="36" customFormat="1" ht="18.75">
      <c r="A88" s="13"/>
      <c r="B88" s="21" t="s">
        <v>39</v>
      </c>
      <c r="C88" s="26"/>
      <c r="D88" s="17"/>
      <c r="E88" s="8"/>
      <c r="F88" s="8"/>
      <c r="G88" s="8">
        <f t="shared" si="3"/>
        <v>0</v>
      </c>
    </row>
    <row r="89" spans="1:7" s="36" customFormat="1" ht="18.75">
      <c r="A89" s="13" t="s">
        <v>16</v>
      </c>
      <c r="B89" s="6" t="s">
        <v>41</v>
      </c>
      <c r="C89" s="25"/>
      <c r="D89" s="7">
        <f>168.78*14</f>
        <v>2362.92</v>
      </c>
      <c r="E89" s="8">
        <f>D89*1.07*1.07*1.07</f>
        <v>2894.6786055600005</v>
      </c>
      <c r="F89" s="8">
        <v>2894.776609000001</v>
      </c>
      <c r="G89" s="8">
        <f t="shared" si="3"/>
        <v>-0.0980034400004115</v>
      </c>
    </row>
    <row r="90" spans="1:7" s="36" customFormat="1" ht="18.75">
      <c r="A90" s="13" t="s">
        <v>17</v>
      </c>
      <c r="B90" s="6" t="s">
        <v>42</v>
      </c>
      <c r="C90" s="25"/>
      <c r="D90" s="7">
        <f>43.96*7</f>
        <v>307.72</v>
      </c>
      <c r="E90" s="8">
        <f>D90*1.07*1.07*1.07</f>
        <v>376.97023196000015</v>
      </c>
      <c r="F90" s="8">
        <v>361.3876850000001</v>
      </c>
      <c r="G90" s="8">
        <f t="shared" si="3"/>
        <v>15.582546960000059</v>
      </c>
    </row>
    <row r="91" spans="1:7" s="36" customFormat="1" ht="18.75">
      <c r="A91" s="13" t="s">
        <v>18</v>
      </c>
      <c r="B91" s="21" t="s">
        <v>71</v>
      </c>
      <c r="C91" s="25"/>
      <c r="D91" s="7">
        <f>15*39.286</f>
        <v>589.29</v>
      </c>
      <c r="E91" s="8">
        <f>D91*1.07*1.07*1.07</f>
        <v>721.9055894700001</v>
      </c>
      <c r="F91" s="8">
        <v>842.8295840000002</v>
      </c>
      <c r="G91" s="8">
        <f t="shared" si="3"/>
        <v>-120.92399453000007</v>
      </c>
    </row>
    <row r="92" spans="1:7" s="36" customFormat="1" ht="18.75">
      <c r="A92" s="13" t="s">
        <v>20</v>
      </c>
      <c r="B92" s="22" t="s">
        <v>88</v>
      </c>
      <c r="C92" s="24"/>
      <c r="D92" s="4">
        <f>D94</f>
        <v>13532.574</v>
      </c>
      <c r="E92" s="4">
        <f>E94</f>
        <v>16577.985050682004</v>
      </c>
      <c r="F92" s="4">
        <f>F94</f>
        <v>12250.43</v>
      </c>
      <c r="G92" s="4">
        <f>G94</f>
        <v>4327.555050682004</v>
      </c>
    </row>
    <row r="93" spans="1:7" s="36" customFormat="1" ht="18.75">
      <c r="A93" s="13"/>
      <c r="B93" s="21" t="s">
        <v>59</v>
      </c>
      <c r="C93" s="24"/>
      <c r="D93" s="4"/>
      <c r="E93" s="4"/>
      <c r="F93" s="4"/>
      <c r="G93" s="4">
        <f t="shared" si="3"/>
        <v>0</v>
      </c>
    </row>
    <row r="94" spans="1:7" s="36" customFormat="1" ht="18.75">
      <c r="A94" s="13" t="s">
        <v>21</v>
      </c>
      <c r="B94" s="21" t="s">
        <v>28</v>
      </c>
      <c r="C94" s="26"/>
      <c r="D94" s="7">
        <f>13532.574</f>
        <v>13532.574</v>
      </c>
      <c r="E94" s="8">
        <f>D94*1.07*1.07*1.07</f>
        <v>16577.985050682004</v>
      </c>
      <c r="F94" s="8">
        <v>12250.43</v>
      </c>
      <c r="G94" s="8">
        <f t="shared" si="3"/>
        <v>4327.555050682004</v>
      </c>
    </row>
    <row r="95" spans="1:7" s="36" customFormat="1" ht="18.75">
      <c r="A95" s="13" t="s">
        <v>24</v>
      </c>
      <c r="B95" s="22" t="s">
        <v>78</v>
      </c>
      <c r="C95" s="24"/>
      <c r="D95" s="4">
        <f>D97</f>
        <v>4460.1</v>
      </c>
      <c r="E95" s="4">
        <f>E97</f>
        <v>5463.814284300001</v>
      </c>
      <c r="F95" s="4">
        <f>F97</f>
        <v>5145.180600000001</v>
      </c>
      <c r="G95" s="4">
        <f>G97</f>
        <v>318.6336843000008</v>
      </c>
    </row>
    <row r="96" spans="1:7" s="36" customFormat="1" ht="18.75">
      <c r="A96" s="13"/>
      <c r="B96" s="21" t="s">
        <v>59</v>
      </c>
      <c r="C96" s="26"/>
      <c r="D96" s="8"/>
      <c r="E96" s="8"/>
      <c r="F96" s="8"/>
      <c r="G96" s="8">
        <f t="shared" si="3"/>
        <v>0</v>
      </c>
    </row>
    <row r="97" spans="1:7" s="36" customFormat="1" ht="18.75">
      <c r="A97" s="13" t="s">
        <v>25</v>
      </c>
      <c r="B97" s="21" t="s">
        <v>80</v>
      </c>
      <c r="C97" s="26"/>
      <c r="D97" s="7">
        <f>5*892.02</f>
        <v>4460.1</v>
      </c>
      <c r="E97" s="8">
        <f>D97*1.07*1.07*1.07</f>
        <v>5463.814284300001</v>
      </c>
      <c r="F97" s="8">
        <v>5145.180600000001</v>
      </c>
      <c r="G97" s="8">
        <f t="shared" si="3"/>
        <v>318.6336843000008</v>
      </c>
    </row>
    <row r="98" spans="1:7" s="36" customFormat="1" ht="18.75">
      <c r="A98" s="90" t="s">
        <v>92</v>
      </c>
      <c r="B98" s="91"/>
      <c r="C98" s="92"/>
      <c r="D98" s="4">
        <f>D95+D92+D87+D84+D79+D78</f>
        <v>72962.88985714284</v>
      </c>
      <c r="E98" s="4">
        <f>E95+E92+E87+E84+E79+E78</f>
        <v>89382.67747926388</v>
      </c>
      <c r="F98" s="4">
        <f>F95+F92+F87+F84+F79+F78</f>
        <v>98583.73497703603</v>
      </c>
      <c r="G98" s="4">
        <f>G95+G92+G87+G84+G79+G78</f>
        <v>-9201.057497772163</v>
      </c>
    </row>
    <row r="99" spans="1:7" s="36" customFormat="1" ht="18.75">
      <c r="A99" s="87" t="s">
        <v>93</v>
      </c>
      <c r="B99" s="88"/>
      <c r="C99" s="89"/>
      <c r="D99" s="4">
        <f>D98+D76+D36</f>
        <v>246927.1942142857</v>
      </c>
      <c r="E99" s="4">
        <f>E98+E76+E36</f>
        <v>281762.6118227567</v>
      </c>
      <c r="F99" s="4">
        <f>F98+F76+F36</f>
        <v>286641.544571636</v>
      </c>
      <c r="G99" s="4">
        <f>G98+G76+G36</f>
        <v>-4878.93274887931</v>
      </c>
    </row>
  </sheetData>
  <sheetProtection/>
  <mergeCells count="9">
    <mergeCell ref="A1:E1"/>
    <mergeCell ref="A2:E2"/>
    <mergeCell ref="A5:E5"/>
    <mergeCell ref="A99:C99"/>
    <mergeCell ref="A98:C98"/>
    <mergeCell ref="A76:C76"/>
    <mergeCell ref="A36:C36"/>
    <mergeCell ref="A77:E77"/>
    <mergeCell ref="A37:E37"/>
  </mergeCells>
  <printOptions/>
  <pageMargins left="0.17" right="0.17" top="0.28" bottom="0.2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D57"/>
  <sheetViews>
    <sheetView showZeros="0" tabSelected="1" zoomScale="75" zoomScaleNormal="75" zoomScalePageLayoutView="0" workbookViewId="0" topLeftCell="A3">
      <pane xSplit="3" ySplit="9" topLeftCell="D12" activePane="bottomRight" state="frozen"/>
      <selection pane="topLeft" activeCell="B3" sqref="B3"/>
      <selection pane="topRight" activeCell="C3" sqref="C3"/>
      <selection pane="bottomLeft" activeCell="B6" sqref="B6"/>
      <selection pane="bottomRight" activeCell="N63" sqref="N63"/>
    </sheetView>
  </sheetViews>
  <sheetFormatPr defaultColWidth="9.140625" defaultRowHeight="15" outlineLevelRow="1" outlineLevelCol="1"/>
  <cols>
    <col min="1" max="1" width="5.28125" style="39" customWidth="1"/>
    <col min="2" max="2" width="9.7109375" style="39" customWidth="1"/>
    <col min="3" max="3" width="65.7109375" style="62" customWidth="1"/>
    <col min="4" max="4" width="5.7109375" style="63" customWidth="1"/>
    <col min="5" max="5" width="20.421875" style="64" hidden="1" customWidth="1" outlineLevel="1"/>
    <col min="6" max="6" width="5.421875" style="64" customWidth="1" outlineLevel="1"/>
    <col min="7" max="7" width="5.57421875" style="64" customWidth="1" outlineLevel="1"/>
    <col min="8" max="8" width="10.28125" style="64" customWidth="1" outlineLevel="1"/>
    <col min="9" max="9" width="11.140625" style="64" customWidth="1" outlineLevel="1"/>
    <col min="10" max="10" width="11.7109375" style="65" customWidth="1"/>
    <col min="11" max="11" width="10.8515625" style="39" customWidth="1"/>
    <col min="12" max="12" width="9.7109375" style="39" customWidth="1"/>
    <col min="13" max="13" width="12.421875" style="39" customWidth="1"/>
    <col min="14" max="14" width="11.28125" style="39" customWidth="1"/>
    <col min="15" max="15" width="10.7109375" style="39" customWidth="1"/>
    <col min="16" max="16" width="9.7109375" style="39" customWidth="1"/>
    <col min="17" max="17" width="8.28125" style="39" customWidth="1"/>
    <col min="18" max="18" width="7.421875" style="39" customWidth="1"/>
    <col min="19" max="19" width="7.7109375" style="39" customWidth="1"/>
    <col min="20" max="20" width="8.00390625" style="39" customWidth="1"/>
    <col min="21" max="21" width="8.7109375" style="39" customWidth="1"/>
    <col min="22" max="22" width="9.140625" style="39" customWidth="1"/>
    <col min="23" max="23" width="6.7109375" style="39" customWidth="1"/>
    <col min="24" max="24" width="17.00390625" style="39" customWidth="1"/>
    <col min="25" max="25" width="15.7109375" style="39" customWidth="1"/>
    <col min="26" max="26" width="16.57421875" style="39" customWidth="1"/>
    <col min="27" max="27" width="22.8515625" style="39" customWidth="1"/>
    <col min="28" max="29" width="12.7109375" style="39" hidden="1" customWidth="1"/>
    <col min="30" max="35" width="9.140625" style="39" hidden="1" customWidth="1"/>
    <col min="36" max="16384" width="9.140625" style="39" customWidth="1"/>
  </cols>
  <sheetData>
    <row r="1" spans="3:10" ht="18.75" customHeight="1">
      <c r="C1" s="96"/>
      <c r="D1" s="96"/>
      <c r="E1" s="96"/>
      <c r="F1" s="96"/>
      <c r="G1" s="96"/>
      <c r="H1" s="96"/>
      <c r="I1" s="96"/>
      <c r="J1" s="96"/>
    </row>
    <row r="2" spans="3:10" ht="18.75" customHeight="1">
      <c r="C2" s="96"/>
      <c r="D2" s="96"/>
      <c r="E2" s="96"/>
      <c r="F2" s="96"/>
      <c r="G2" s="96"/>
      <c r="H2" s="96"/>
      <c r="I2" s="96"/>
      <c r="J2" s="96"/>
    </row>
    <row r="3" spans="3:13" ht="18.75" customHeight="1">
      <c r="C3" s="66"/>
      <c r="D3" s="66"/>
      <c r="E3" s="66"/>
      <c r="F3" s="66"/>
      <c r="G3" s="66"/>
      <c r="H3" s="66"/>
      <c r="I3" s="66"/>
      <c r="J3" s="69"/>
      <c r="K3" s="69"/>
      <c r="L3" s="69"/>
      <c r="M3" s="69"/>
    </row>
    <row r="4" spans="3:13" ht="18.75" customHeight="1">
      <c r="C4" s="66"/>
      <c r="D4" s="66"/>
      <c r="E4" s="66"/>
      <c r="F4" s="66"/>
      <c r="G4" s="66"/>
      <c r="H4" s="66"/>
      <c r="I4" s="66"/>
      <c r="J4" s="69"/>
      <c r="K4" s="69"/>
      <c r="L4" s="69"/>
      <c r="M4" s="69"/>
    </row>
    <row r="5" spans="3:13" ht="18.75" customHeight="1">
      <c r="C5" s="66"/>
      <c r="D5" s="66"/>
      <c r="E5" s="66"/>
      <c r="F5" s="66"/>
      <c r="G5" s="66"/>
      <c r="H5" s="66"/>
      <c r="I5" s="66"/>
      <c r="J5" s="67"/>
      <c r="K5" s="67"/>
      <c r="L5" s="67"/>
      <c r="M5" s="67"/>
    </row>
    <row r="6" spans="3:13" ht="18.75" customHeight="1">
      <c r="C6" s="66"/>
      <c r="D6" s="66"/>
      <c r="E6" s="66"/>
      <c r="F6" s="66"/>
      <c r="G6" s="66"/>
      <c r="H6" s="66"/>
      <c r="I6" s="66"/>
      <c r="J6" s="97"/>
      <c r="K6" s="97"/>
      <c r="L6" s="97"/>
      <c r="M6" s="62"/>
    </row>
    <row r="7" spans="1:27" ht="18.75" customHeight="1">
      <c r="A7" s="96" t="s">
        <v>145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57.75" customHeight="1">
      <c r="A8" s="96" t="s">
        <v>167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53.25" customHeight="1">
      <c r="A9" s="98" t="s">
        <v>115</v>
      </c>
      <c r="B9" s="98" t="s">
        <v>151</v>
      </c>
      <c r="C9" s="98"/>
      <c r="D9" s="98"/>
      <c r="E9" s="98"/>
      <c r="F9" s="98"/>
      <c r="G9" s="98"/>
      <c r="H9" s="98"/>
      <c r="I9" s="106" t="s">
        <v>148</v>
      </c>
      <c r="J9" s="106" t="s">
        <v>146</v>
      </c>
      <c r="K9" s="106"/>
      <c r="L9" s="106"/>
      <c r="M9" s="106"/>
      <c r="N9" s="99" t="s">
        <v>147</v>
      </c>
      <c r="O9" s="100"/>
      <c r="P9" s="100"/>
      <c r="Q9" s="101"/>
      <c r="R9" s="102" t="s">
        <v>162</v>
      </c>
      <c r="S9" s="102"/>
      <c r="T9" s="102"/>
      <c r="U9" s="102"/>
      <c r="V9" s="102"/>
      <c r="W9" s="102"/>
      <c r="X9" s="102"/>
      <c r="Y9" s="102"/>
      <c r="Z9" s="102" t="s">
        <v>163</v>
      </c>
      <c r="AA9" s="102" t="s">
        <v>164</v>
      </c>
    </row>
    <row r="10" spans="1:27" ht="85.5" customHeight="1">
      <c r="A10" s="98"/>
      <c r="B10" s="107" t="s">
        <v>152</v>
      </c>
      <c r="C10" s="102" t="s">
        <v>1</v>
      </c>
      <c r="D10" s="102" t="s">
        <v>139</v>
      </c>
      <c r="E10" s="106" t="s">
        <v>49</v>
      </c>
      <c r="F10" s="106" t="s">
        <v>149</v>
      </c>
      <c r="G10" s="106"/>
      <c r="H10" s="106" t="s">
        <v>150</v>
      </c>
      <c r="I10" s="106"/>
      <c r="J10" s="106"/>
      <c r="K10" s="106"/>
      <c r="L10" s="106"/>
      <c r="M10" s="106"/>
      <c r="N10" s="98" t="s">
        <v>143</v>
      </c>
      <c r="O10" s="98"/>
      <c r="P10" s="102" t="s">
        <v>144</v>
      </c>
      <c r="Q10" s="102" t="s">
        <v>177</v>
      </c>
      <c r="R10" s="102" t="s">
        <v>154</v>
      </c>
      <c r="S10" s="102"/>
      <c r="T10" s="102" t="s">
        <v>157</v>
      </c>
      <c r="U10" s="102"/>
      <c r="V10" s="102" t="s">
        <v>158</v>
      </c>
      <c r="W10" s="102"/>
      <c r="X10" s="102" t="s">
        <v>161</v>
      </c>
      <c r="Y10" s="102"/>
      <c r="Z10" s="102"/>
      <c r="AA10" s="102"/>
    </row>
    <row r="11" spans="1:29" ht="61.5" customHeight="1">
      <c r="A11" s="98"/>
      <c r="B11" s="108"/>
      <c r="C11" s="102"/>
      <c r="D11" s="102"/>
      <c r="E11" s="106"/>
      <c r="F11" s="73" t="s">
        <v>137</v>
      </c>
      <c r="G11" s="73" t="s">
        <v>138</v>
      </c>
      <c r="H11" s="106"/>
      <c r="I11" s="106"/>
      <c r="J11" s="73" t="s">
        <v>137</v>
      </c>
      <c r="K11" s="73" t="s">
        <v>138</v>
      </c>
      <c r="L11" s="72" t="s">
        <v>31</v>
      </c>
      <c r="M11" s="73" t="s">
        <v>142</v>
      </c>
      <c r="N11" s="73" t="s">
        <v>176</v>
      </c>
      <c r="O11" s="73" t="s">
        <v>54</v>
      </c>
      <c r="P11" s="102"/>
      <c r="Q11" s="102"/>
      <c r="R11" s="42" t="s">
        <v>155</v>
      </c>
      <c r="S11" s="42" t="s">
        <v>156</v>
      </c>
      <c r="T11" s="42" t="s">
        <v>155</v>
      </c>
      <c r="U11" s="42" t="s">
        <v>156</v>
      </c>
      <c r="V11" s="71" t="s">
        <v>159</v>
      </c>
      <c r="W11" s="71" t="s">
        <v>160</v>
      </c>
      <c r="X11" s="42" t="s">
        <v>155</v>
      </c>
      <c r="Y11" s="42" t="s">
        <v>156</v>
      </c>
      <c r="Z11" s="102"/>
      <c r="AA11" s="102"/>
      <c r="AB11" s="77"/>
      <c r="AC11" s="77"/>
    </row>
    <row r="12" spans="1:27" ht="21.75" customHeight="1">
      <c r="A12" s="71">
        <v>1</v>
      </c>
      <c r="B12" s="71">
        <v>2</v>
      </c>
      <c r="C12" s="42">
        <v>3</v>
      </c>
      <c r="D12" s="74">
        <v>4</v>
      </c>
      <c r="E12" s="70"/>
      <c r="F12" s="75">
        <v>5</v>
      </c>
      <c r="G12" s="75">
        <v>6</v>
      </c>
      <c r="H12" s="75">
        <v>7</v>
      </c>
      <c r="I12" s="75">
        <v>8</v>
      </c>
      <c r="J12" s="75">
        <v>9</v>
      </c>
      <c r="K12" s="75">
        <v>10</v>
      </c>
      <c r="L12" s="76">
        <v>11</v>
      </c>
      <c r="M12" s="76">
        <v>12</v>
      </c>
      <c r="N12" s="76">
        <v>13</v>
      </c>
      <c r="O12" s="76">
        <v>14</v>
      </c>
      <c r="P12" s="76">
        <v>15</v>
      </c>
      <c r="Q12" s="76">
        <v>16</v>
      </c>
      <c r="R12" s="78">
        <f>Q12+1</f>
        <v>17</v>
      </c>
      <c r="S12" s="78">
        <f aca="true" t="shared" si="0" ref="S12:AA12">R12+1</f>
        <v>18</v>
      </c>
      <c r="T12" s="78">
        <f t="shared" si="0"/>
        <v>19</v>
      </c>
      <c r="U12" s="78">
        <f t="shared" si="0"/>
        <v>20</v>
      </c>
      <c r="V12" s="78">
        <f t="shared" si="0"/>
        <v>21</v>
      </c>
      <c r="W12" s="78">
        <f t="shared" si="0"/>
        <v>22</v>
      </c>
      <c r="X12" s="78">
        <f t="shared" si="0"/>
        <v>23</v>
      </c>
      <c r="Y12" s="78">
        <f t="shared" si="0"/>
        <v>24</v>
      </c>
      <c r="Z12" s="78">
        <f t="shared" si="0"/>
        <v>25</v>
      </c>
      <c r="AA12" s="78">
        <f t="shared" si="0"/>
        <v>26</v>
      </c>
    </row>
    <row r="13" spans="1:27" s="44" customFormat="1" ht="15" outlineLevel="1">
      <c r="A13" s="68"/>
      <c r="B13" s="109" t="s">
        <v>153</v>
      </c>
      <c r="C13" s="41" t="s">
        <v>120</v>
      </c>
      <c r="D13" s="42"/>
      <c r="E13" s="43">
        <f>E15+E16+E19+E17+E18</f>
        <v>138574.16571428571</v>
      </c>
      <c r="F13" s="43"/>
      <c r="G13" s="43"/>
      <c r="H13" s="103" t="s">
        <v>36</v>
      </c>
      <c r="I13" s="103"/>
      <c r="J13" s="43">
        <f>J15+J16+J19+J17+J18+J20</f>
        <v>170525.04081142854</v>
      </c>
      <c r="K13" s="43">
        <f>K15+K16+K19+K17+K18+K20</f>
        <v>171624.656</v>
      </c>
      <c r="L13" s="43">
        <f>L15+L16+L19+L17+L18+L20</f>
        <v>1099.6151885714298</v>
      </c>
      <c r="M13" s="43"/>
      <c r="N13" s="43">
        <f>N15+N16+N19+N17+N18+N20</f>
        <v>108122.75947791719</v>
      </c>
      <c r="O13" s="43">
        <f>O15+O16+O19+O17+O18+O20</f>
        <v>63501.89652208278</v>
      </c>
      <c r="P13" s="68"/>
      <c r="Q13" s="68"/>
      <c r="R13" s="68"/>
      <c r="S13" s="68"/>
      <c r="T13" s="68"/>
      <c r="U13" s="68"/>
      <c r="V13" s="68"/>
      <c r="W13" s="68"/>
      <c r="X13" s="107" t="s">
        <v>175</v>
      </c>
      <c r="Y13" s="107" t="s">
        <v>174</v>
      </c>
      <c r="Z13" s="68"/>
      <c r="AA13" s="107" t="s">
        <v>173</v>
      </c>
    </row>
    <row r="14" spans="1:29" s="48" customFormat="1" ht="15" outlineLevel="1">
      <c r="A14" s="47"/>
      <c r="B14" s="110"/>
      <c r="C14" s="41" t="s">
        <v>59</v>
      </c>
      <c r="D14" s="40"/>
      <c r="E14" s="43"/>
      <c r="F14" s="45"/>
      <c r="G14" s="45"/>
      <c r="H14" s="104"/>
      <c r="I14" s="104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112"/>
      <c r="Y14" s="112"/>
      <c r="Z14" s="47"/>
      <c r="AA14" s="112"/>
      <c r="AC14" s="44" t="s">
        <v>172</v>
      </c>
    </row>
    <row r="15" spans="1:30" s="44" customFormat="1" ht="15" outlineLevel="1">
      <c r="A15" s="71">
        <v>1</v>
      </c>
      <c r="B15" s="110"/>
      <c r="C15" s="49" t="s">
        <v>61</v>
      </c>
      <c r="D15" s="42" t="s">
        <v>140</v>
      </c>
      <c r="E15" s="50">
        <f>52077.492/1.12</f>
        <v>46497.76071428571</v>
      </c>
      <c r="F15" s="51">
        <v>18</v>
      </c>
      <c r="G15" s="51">
        <v>18</v>
      </c>
      <c r="H15" s="104"/>
      <c r="I15" s="104"/>
      <c r="J15" s="52">
        <v>53659.61</v>
      </c>
      <c r="K15" s="52">
        <f>J15</f>
        <v>53659.61</v>
      </c>
      <c r="L15" s="52">
        <f aca="true" t="shared" si="1" ref="L15:L20">K15-J15</f>
        <v>0</v>
      </c>
      <c r="M15" s="52"/>
      <c r="N15" s="52">
        <f>K15*$N$54</f>
        <v>33805.31236554287</v>
      </c>
      <c r="O15" s="52">
        <f>K15-N15</f>
        <v>19854.29763445713</v>
      </c>
      <c r="P15" s="68"/>
      <c r="Q15" s="68"/>
      <c r="R15" s="68"/>
      <c r="S15" s="68"/>
      <c r="T15" s="68">
        <v>3</v>
      </c>
      <c r="U15" s="68">
        <v>12</v>
      </c>
      <c r="V15" s="68"/>
      <c r="W15" s="68"/>
      <c r="X15" s="112"/>
      <c r="Y15" s="112"/>
      <c r="Z15" s="68"/>
      <c r="AA15" s="112"/>
      <c r="AB15" s="44" t="s">
        <v>168</v>
      </c>
      <c r="AC15" s="44">
        <v>49.6</v>
      </c>
      <c r="AD15" s="44" t="s">
        <v>171</v>
      </c>
    </row>
    <row r="16" spans="1:29" s="44" customFormat="1" ht="15" outlineLevel="1">
      <c r="A16" s="71">
        <v>2</v>
      </c>
      <c r="B16" s="110"/>
      <c r="C16" s="49" t="s">
        <v>124</v>
      </c>
      <c r="D16" s="42" t="s">
        <v>140</v>
      </c>
      <c r="E16" s="50">
        <v>65835.79</v>
      </c>
      <c r="F16" s="51">
        <v>20</v>
      </c>
      <c r="G16" s="51">
        <v>20</v>
      </c>
      <c r="H16" s="104"/>
      <c r="I16" s="104"/>
      <c r="J16" s="52">
        <v>73876.487</v>
      </c>
      <c r="K16" s="52">
        <f>J16</f>
        <v>73876.487</v>
      </c>
      <c r="L16" s="52">
        <f t="shared" si="1"/>
        <v>0</v>
      </c>
      <c r="M16" s="52"/>
      <c r="N16" s="52">
        <f aca="true" t="shared" si="2" ref="N16:N51">K16*$N$54</f>
        <v>46541.85372394557</v>
      </c>
      <c r="O16" s="52">
        <f aca="true" t="shared" si="3" ref="O16:O51">K16-N16</f>
        <v>27334.633276054425</v>
      </c>
      <c r="P16" s="68"/>
      <c r="Q16" s="68"/>
      <c r="R16" s="68"/>
      <c r="S16" s="68"/>
      <c r="T16" s="68"/>
      <c r="U16" s="68">
        <v>20</v>
      </c>
      <c r="V16" s="68"/>
      <c r="W16" s="68"/>
      <c r="X16" s="112"/>
      <c r="Y16" s="112"/>
      <c r="Z16" s="68"/>
      <c r="AA16" s="112"/>
      <c r="AB16" s="81">
        <v>0.2</v>
      </c>
      <c r="AC16" s="44">
        <v>30.4</v>
      </c>
    </row>
    <row r="17" spans="1:28" s="44" customFormat="1" ht="15" outlineLevel="1">
      <c r="A17" s="71">
        <v>3</v>
      </c>
      <c r="B17" s="110"/>
      <c r="C17" s="49" t="s">
        <v>122</v>
      </c>
      <c r="D17" s="42" t="s">
        <v>140</v>
      </c>
      <c r="E17" s="50">
        <f>108*78.4/1.12</f>
        <v>7560</v>
      </c>
      <c r="F17" s="51">
        <v>108</v>
      </c>
      <c r="G17" s="51">
        <v>108</v>
      </c>
      <c r="H17" s="104"/>
      <c r="I17" s="104"/>
      <c r="J17" s="52">
        <v>5338.869</v>
      </c>
      <c r="K17" s="52">
        <f>J17</f>
        <v>5338.869</v>
      </c>
      <c r="L17" s="52">
        <f t="shared" si="1"/>
        <v>0</v>
      </c>
      <c r="M17" s="52"/>
      <c r="N17" s="52">
        <f t="shared" si="2"/>
        <v>3363.463398703671</v>
      </c>
      <c r="O17" s="52">
        <f t="shared" si="3"/>
        <v>1975.4056012963288</v>
      </c>
      <c r="P17" s="68"/>
      <c r="Q17" s="68"/>
      <c r="R17" s="68"/>
      <c r="S17" s="68"/>
      <c r="T17" s="68"/>
      <c r="U17" s="68">
        <v>5</v>
      </c>
      <c r="V17" s="68"/>
      <c r="W17" s="68"/>
      <c r="X17" s="112"/>
      <c r="Y17" s="112"/>
      <c r="Z17" s="68"/>
      <c r="AA17" s="112"/>
      <c r="AB17" s="81">
        <v>0.05</v>
      </c>
    </row>
    <row r="18" spans="1:27" s="44" customFormat="1" ht="30" outlineLevel="1">
      <c r="A18" s="71">
        <v>4</v>
      </c>
      <c r="B18" s="110"/>
      <c r="C18" s="49" t="s">
        <v>123</v>
      </c>
      <c r="D18" s="42" t="s">
        <v>140</v>
      </c>
      <c r="E18" s="50">
        <v>1067.66</v>
      </c>
      <c r="F18" s="51">
        <v>1</v>
      </c>
      <c r="G18" s="51">
        <v>1</v>
      </c>
      <c r="H18" s="104"/>
      <c r="I18" s="104"/>
      <c r="J18" s="52">
        <v>1432.321</v>
      </c>
      <c r="K18" s="52">
        <f>J18</f>
        <v>1432.321</v>
      </c>
      <c r="L18" s="52">
        <f t="shared" si="1"/>
        <v>0</v>
      </c>
      <c r="M18" s="52"/>
      <c r="N18" s="52">
        <f t="shared" si="2"/>
        <v>902.3557721110295</v>
      </c>
      <c r="O18" s="52">
        <f t="shared" si="3"/>
        <v>529.9652278889704</v>
      </c>
      <c r="P18" s="68"/>
      <c r="Q18" s="68"/>
      <c r="R18" s="68"/>
      <c r="S18" s="68"/>
      <c r="T18" s="68"/>
      <c r="U18" s="68"/>
      <c r="V18" s="68"/>
      <c r="W18" s="68"/>
      <c r="X18" s="112"/>
      <c r="Y18" s="112"/>
      <c r="Z18" s="68"/>
      <c r="AA18" s="112"/>
    </row>
    <row r="19" spans="1:29" s="44" customFormat="1" ht="30" outlineLevel="1">
      <c r="A19" s="71">
        <v>5</v>
      </c>
      <c r="B19" s="110"/>
      <c r="C19" s="49" t="s">
        <v>121</v>
      </c>
      <c r="D19" s="42" t="s">
        <v>140</v>
      </c>
      <c r="E19" s="50">
        <f>(15375+(918.04*4.74))/1.12</f>
        <v>17612.954999999998</v>
      </c>
      <c r="F19" s="51">
        <v>1</v>
      </c>
      <c r="G19" s="51">
        <v>1</v>
      </c>
      <c r="H19" s="104"/>
      <c r="I19" s="104"/>
      <c r="J19" s="52">
        <v>29660.117</v>
      </c>
      <c r="K19" s="52">
        <f>J19</f>
        <v>29660.117</v>
      </c>
      <c r="L19" s="52">
        <f t="shared" si="1"/>
        <v>0</v>
      </c>
      <c r="M19" s="52"/>
      <c r="N19" s="52">
        <f t="shared" si="2"/>
        <v>18685.739981776762</v>
      </c>
      <c r="O19" s="52">
        <f t="shared" si="3"/>
        <v>10974.377018223237</v>
      </c>
      <c r="P19" s="68"/>
      <c r="Q19" s="68"/>
      <c r="R19" s="68"/>
      <c r="S19" s="68"/>
      <c r="T19" s="68"/>
      <c r="U19" s="68">
        <v>3</v>
      </c>
      <c r="V19" s="68"/>
      <c r="W19" s="68"/>
      <c r="X19" s="112"/>
      <c r="Y19" s="112"/>
      <c r="Z19" s="68"/>
      <c r="AA19" s="112"/>
      <c r="AB19" s="44" t="s">
        <v>169</v>
      </c>
      <c r="AC19" s="44">
        <v>5.968</v>
      </c>
    </row>
    <row r="20" spans="1:28" s="44" customFormat="1" ht="105" outlineLevel="1">
      <c r="A20" s="71">
        <v>6</v>
      </c>
      <c r="B20" s="110"/>
      <c r="C20" s="49" t="s">
        <v>126</v>
      </c>
      <c r="D20" s="42" t="s">
        <v>140</v>
      </c>
      <c r="E20" s="50"/>
      <c r="F20" s="54" t="s">
        <v>127</v>
      </c>
      <c r="G20" s="54"/>
      <c r="H20" s="104"/>
      <c r="I20" s="104"/>
      <c r="J20" s="52">
        <v>6557.636811428571</v>
      </c>
      <c r="K20" s="52">
        <v>7657.252</v>
      </c>
      <c r="L20" s="52">
        <f t="shared" si="1"/>
        <v>1099.6151885714298</v>
      </c>
      <c r="M20" s="72" t="s">
        <v>165</v>
      </c>
      <c r="N20" s="52">
        <f t="shared" si="2"/>
        <v>4824.034235837306</v>
      </c>
      <c r="O20" s="52">
        <f t="shared" si="3"/>
        <v>2833.217764162694</v>
      </c>
      <c r="P20" s="68"/>
      <c r="Q20" s="68"/>
      <c r="R20" s="68"/>
      <c r="S20" s="68"/>
      <c r="T20" s="68"/>
      <c r="U20" s="68">
        <v>3</v>
      </c>
      <c r="V20" s="68"/>
      <c r="W20" s="68"/>
      <c r="X20" s="112"/>
      <c r="Y20" s="112"/>
      <c r="Z20" s="68"/>
      <c r="AA20" s="112"/>
      <c r="AB20" s="44" t="s">
        <v>170</v>
      </c>
    </row>
    <row r="21" spans="1:27" s="44" customFormat="1" ht="15" outlineLevel="1">
      <c r="A21" s="68"/>
      <c r="B21" s="110"/>
      <c r="C21" s="41" t="s">
        <v>58</v>
      </c>
      <c r="D21" s="42"/>
      <c r="E21" s="46">
        <f>SUM(E23:E25)</f>
        <v>3007.1679999999997</v>
      </c>
      <c r="F21" s="55">
        <v>102</v>
      </c>
      <c r="G21" s="55">
        <v>102</v>
      </c>
      <c r="H21" s="104"/>
      <c r="I21" s="104"/>
      <c r="J21" s="46">
        <f>SUM(J23:J25)</f>
        <v>3683.910108224</v>
      </c>
      <c r="K21" s="46">
        <f>SUM(K23:K25)</f>
        <v>3593.76</v>
      </c>
      <c r="L21" s="46">
        <f>SUM(L23:L25)</f>
        <v>-90.1501082239999</v>
      </c>
      <c r="M21" s="46"/>
      <c r="N21" s="46">
        <f>SUM(N23:N25)</f>
        <v>2264.052596856245</v>
      </c>
      <c r="O21" s="46">
        <f>SUM(O23:O25)</f>
        <v>1329.7074031437548</v>
      </c>
      <c r="P21" s="68"/>
      <c r="Q21" s="68"/>
      <c r="R21" s="68"/>
      <c r="S21" s="68"/>
      <c r="T21" s="68"/>
      <c r="U21" s="68"/>
      <c r="V21" s="68"/>
      <c r="W21" s="68"/>
      <c r="X21" s="112"/>
      <c r="Y21" s="112"/>
      <c r="Z21" s="68"/>
      <c r="AA21" s="112"/>
    </row>
    <row r="22" spans="1:27" s="44" customFormat="1" ht="15" outlineLevel="1">
      <c r="A22" s="71"/>
      <c r="B22" s="110"/>
      <c r="C22" s="56" t="s">
        <v>39</v>
      </c>
      <c r="D22" s="42"/>
      <c r="E22" s="57"/>
      <c r="F22" s="58"/>
      <c r="G22" s="58"/>
      <c r="H22" s="104"/>
      <c r="I22" s="104"/>
      <c r="J22" s="52"/>
      <c r="K22" s="52"/>
      <c r="L22" s="52">
        <f>K22-J22</f>
        <v>0</v>
      </c>
      <c r="M22" s="52"/>
      <c r="N22" s="52">
        <f t="shared" si="2"/>
        <v>0</v>
      </c>
      <c r="O22" s="52">
        <f t="shared" si="3"/>
        <v>0</v>
      </c>
      <c r="P22" s="68"/>
      <c r="Q22" s="68"/>
      <c r="R22" s="68"/>
      <c r="S22" s="68"/>
      <c r="T22" s="68"/>
      <c r="U22" s="68"/>
      <c r="V22" s="68"/>
      <c r="W22" s="68"/>
      <c r="X22" s="112"/>
      <c r="Y22" s="112"/>
      <c r="Z22" s="68"/>
      <c r="AA22" s="112"/>
    </row>
    <row r="23" spans="1:27" s="44" customFormat="1" ht="30" outlineLevel="1">
      <c r="A23" s="71">
        <v>7</v>
      </c>
      <c r="B23" s="110"/>
      <c r="C23" s="56" t="s">
        <v>113</v>
      </c>
      <c r="D23" s="42" t="s">
        <v>140</v>
      </c>
      <c r="E23" s="50">
        <f>16*18.836+4*15.178</f>
        <v>362.08799999999997</v>
      </c>
      <c r="F23" s="51">
        <v>20</v>
      </c>
      <c r="G23" s="51">
        <v>20</v>
      </c>
      <c r="H23" s="104"/>
      <c r="I23" s="104"/>
      <c r="J23" s="52">
        <f>E23*1.07*1.07*1.07</f>
        <v>443.573369784</v>
      </c>
      <c r="K23" s="52">
        <v>276.79</v>
      </c>
      <c r="L23" s="52">
        <f>K23-J23</f>
        <v>-166.783369784</v>
      </c>
      <c r="M23" s="52"/>
      <c r="N23" s="52">
        <f t="shared" si="2"/>
        <v>174.37645204015854</v>
      </c>
      <c r="O23" s="52">
        <f t="shared" si="3"/>
        <v>102.41354795984148</v>
      </c>
      <c r="P23" s="68"/>
      <c r="Q23" s="68"/>
      <c r="R23" s="68"/>
      <c r="S23" s="68"/>
      <c r="T23" s="68"/>
      <c r="U23" s="68"/>
      <c r="V23" s="68"/>
      <c r="W23" s="68"/>
      <c r="X23" s="112"/>
      <c r="Y23" s="112"/>
      <c r="Z23" s="68"/>
      <c r="AA23" s="112"/>
    </row>
    <row r="24" spans="1:27" s="44" customFormat="1" ht="45" outlineLevel="1">
      <c r="A24" s="71">
        <v>8</v>
      </c>
      <c r="B24" s="110"/>
      <c r="C24" s="56" t="s">
        <v>114</v>
      </c>
      <c r="D24" s="42" t="s">
        <v>140</v>
      </c>
      <c r="E24" s="50">
        <f>30*18.836</f>
        <v>565.0799999999999</v>
      </c>
      <c r="F24" s="51">
        <v>30</v>
      </c>
      <c r="G24" s="51">
        <v>30</v>
      </c>
      <c r="H24" s="104"/>
      <c r="I24" s="104"/>
      <c r="J24" s="52">
        <f>E24*1.07*1.07*1.07</f>
        <v>692.2472984400001</v>
      </c>
      <c r="K24" s="52">
        <v>415.18</v>
      </c>
      <c r="L24" s="52">
        <f>K24-J24</f>
        <v>-277.0672984400001</v>
      </c>
      <c r="M24" s="52"/>
      <c r="N24" s="52">
        <f t="shared" si="2"/>
        <v>261.56152808278125</v>
      </c>
      <c r="O24" s="52">
        <f t="shared" si="3"/>
        <v>153.61847191721876</v>
      </c>
      <c r="P24" s="68"/>
      <c r="Q24" s="68"/>
      <c r="R24" s="68"/>
      <c r="S24" s="68"/>
      <c r="T24" s="68"/>
      <c r="U24" s="68"/>
      <c r="V24" s="68"/>
      <c r="W24" s="68"/>
      <c r="X24" s="112"/>
      <c r="Y24" s="112"/>
      <c r="Z24" s="68"/>
      <c r="AA24" s="112"/>
    </row>
    <row r="25" spans="1:27" s="44" customFormat="1" ht="45" outlineLevel="1">
      <c r="A25" s="71">
        <v>9</v>
      </c>
      <c r="B25" s="110"/>
      <c r="C25" s="56" t="s">
        <v>109</v>
      </c>
      <c r="D25" s="42" t="s">
        <v>140</v>
      </c>
      <c r="E25" s="50">
        <f>40*52</f>
        <v>2080</v>
      </c>
      <c r="F25" s="51">
        <v>52</v>
      </c>
      <c r="G25" s="51">
        <v>52</v>
      </c>
      <c r="H25" s="104"/>
      <c r="I25" s="104"/>
      <c r="J25" s="52">
        <f>E25*1.07*1.07*1.07</f>
        <v>2548.0894399999997</v>
      </c>
      <c r="K25" s="52">
        <v>2901.79</v>
      </c>
      <c r="L25" s="52">
        <f>K25-J25</f>
        <v>353.7005600000002</v>
      </c>
      <c r="M25" s="52"/>
      <c r="N25" s="52">
        <f t="shared" si="2"/>
        <v>1828.1146167333054</v>
      </c>
      <c r="O25" s="52">
        <f t="shared" si="3"/>
        <v>1073.6753832666946</v>
      </c>
      <c r="P25" s="68"/>
      <c r="Q25" s="68"/>
      <c r="R25" s="68"/>
      <c r="S25" s="68"/>
      <c r="T25" s="68"/>
      <c r="U25" s="68"/>
      <c r="V25" s="68"/>
      <c r="W25" s="68"/>
      <c r="X25" s="112"/>
      <c r="Y25" s="112"/>
      <c r="Z25" s="68"/>
      <c r="AA25" s="112"/>
    </row>
    <row r="26" spans="1:27" s="48" customFormat="1" ht="15" outlineLevel="1">
      <c r="A26" s="82"/>
      <c r="B26" s="110"/>
      <c r="C26" s="59" t="s">
        <v>63</v>
      </c>
      <c r="D26" s="42" t="s">
        <v>140</v>
      </c>
      <c r="E26" s="43">
        <f>E28</f>
        <v>2108.93</v>
      </c>
      <c r="F26" s="45">
        <v>1</v>
      </c>
      <c r="G26" s="45">
        <v>1</v>
      </c>
      <c r="H26" s="104"/>
      <c r="I26" s="104"/>
      <c r="J26" s="46">
        <f>J28</f>
        <v>770.98</v>
      </c>
      <c r="K26" s="46">
        <f>K28</f>
        <v>770.98</v>
      </c>
      <c r="L26" s="46">
        <f>L28</f>
        <v>0</v>
      </c>
      <c r="M26" s="46"/>
      <c r="N26" s="46">
        <f>N28</f>
        <v>485.7139238914752</v>
      </c>
      <c r="O26" s="46">
        <f>O28</f>
        <v>285.2660761085248</v>
      </c>
      <c r="P26" s="47"/>
      <c r="Q26" s="47"/>
      <c r="R26" s="47"/>
      <c r="S26" s="47"/>
      <c r="T26" s="47"/>
      <c r="U26" s="47"/>
      <c r="V26" s="47"/>
      <c r="W26" s="47"/>
      <c r="X26" s="112"/>
      <c r="Y26" s="112"/>
      <c r="Z26" s="47"/>
      <c r="AA26" s="112"/>
    </row>
    <row r="27" spans="1:27" s="48" customFormat="1" ht="15" outlineLevel="1">
      <c r="A27" s="82"/>
      <c r="B27" s="110"/>
      <c r="C27" s="56" t="s">
        <v>59</v>
      </c>
      <c r="D27" s="42"/>
      <c r="E27" s="43"/>
      <c r="F27" s="45"/>
      <c r="G27" s="45"/>
      <c r="H27" s="104"/>
      <c r="I27" s="104"/>
      <c r="J27" s="46"/>
      <c r="K27" s="46"/>
      <c r="L27" s="52">
        <f>K27-J27</f>
        <v>0</v>
      </c>
      <c r="M27" s="52"/>
      <c r="N27" s="52">
        <f t="shared" si="2"/>
        <v>0</v>
      </c>
      <c r="O27" s="52">
        <f t="shared" si="3"/>
        <v>0</v>
      </c>
      <c r="P27" s="47"/>
      <c r="Q27" s="47"/>
      <c r="R27" s="47"/>
      <c r="S27" s="47"/>
      <c r="T27" s="47"/>
      <c r="U27" s="47"/>
      <c r="V27" s="47"/>
      <c r="W27" s="47"/>
      <c r="X27" s="112"/>
      <c r="Y27" s="112"/>
      <c r="Z27" s="47"/>
      <c r="AA27" s="112"/>
    </row>
    <row r="28" spans="1:27" s="44" customFormat="1" ht="15" outlineLevel="1">
      <c r="A28" s="71">
        <v>10</v>
      </c>
      <c r="B28" s="110"/>
      <c r="C28" s="56" t="s">
        <v>116</v>
      </c>
      <c r="D28" s="42" t="s">
        <v>140</v>
      </c>
      <c r="E28" s="50">
        <f>2108.93*1</f>
        <v>2108.93</v>
      </c>
      <c r="F28" s="51">
        <v>1</v>
      </c>
      <c r="G28" s="51">
        <v>1</v>
      </c>
      <c r="H28" s="104"/>
      <c r="I28" s="104"/>
      <c r="J28" s="52">
        <v>770.98</v>
      </c>
      <c r="K28" s="52">
        <f>J28</f>
        <v>770.98</v>
      </c>
      <c r="L28" s="52">
        <f>K28-J28</f>
        <v>0</v>
      </c>
      <c r="M28" s="52"/>
      <c r="N28" s="52">
        <f t="shared" si="2"/>
        <v>485.7139238914752</v>
      </c>
      <c r="O28" s="52">
        <f t="shared" si="3"/>
        <v>285.2660761085248</v>
      </c>
      <c r="P28" s="68"/>
      <c r="Q28" s="68"/>
      <c r="R28" s="68"/>
      <c r="S28" s="68"/>
      <c r="T28" s="68">
        <v>0</v>
      </c>
      <c r="U28" s="68"/>
      <c r="V28" s="68"/>
      <c r="W28" s="68"/>
      <c r="X28" s="112"/>
      <c r="Y28" s="112"/>
      <c r="Z28" s="68"/>
      <c r="AA28" s="112"/>
    </row>
    <row r="29" spans="1:27" s="44" customFormat="1" ht="28.5" outlineLevel="1">
      <c r="A29" s="68"/>
      <c r="B29" s="110"/>
      <c r="C29" s="59" t="s">
        <v>77</v>
      </c>
      <c r="D29" s="42"/>
      <c r="E29" s="46">
        <f>E31+E32+E33</f>
        <v>2584.81</v>
      </c>
      <c r="F29" s="55"/>
      <c r="G29" s="55"/>
      <c r="H29" s="104"/>
      <c r="I29" s="104"/>
      <c r="J29" s="46">
        <f>J31+J32+J33</f>
        <v>2444.5978073600004</v>
      </c>
      <c r="K29" s="46">
        <f>K31+K32+K33</f>
        <v>2437.45</v>
      </c>
      <c r="L29" s="46">
        <f>L31+L32+L33</f>
        <v>-7.147807360000684</v>
      </c>
      <c r="M29" s="46"/>
      <c r="N29" s="46">
        <f>N31+N32+N33</f>
        <v>1535.582510297642</v>
      </c>
      <c r="O29" s="46">
        <f>O31+O32+O33</f>
        <v>901.8674897023577</v>
      </c>
      <c r="P29" s="68"/>
      <c r="Q29" s="68"/>
      <c r="R29" s="68"/>
      <c r="S29" s="68"/>
      <c r="T29" s="68"/>
      <c r="U29" s="68"/>
      <c r="V29" s="68"/>
      <c r="W29" s="68"/>
      <c r="X29" s="112"/>
      <c r="Y29" s="112"/>
      <c r="Z29" s="68"/>
      <c r="AA29" s="112"/>
    </row>
    <row r="30" spans="1:27" s="44" customFormat="1" ht="15" outlineLevel="1">
      <c r="A30" s="68"/>
      <c r="B30" s="110"/>
      <c r="C30" s="56" t="s">
        <v>59</v>
      </c>
      <c r="D30" s="42"/>
      <c r="E30" s="57"/>
      <c r="F30" s="58"/>
      <c r="G30" s="58"/>
      <c r="H30" s="104"/>
      <c r="I30" s="104"/>
      <c r="J30" s="52"/>
      <c r="K30" s="52"/>
      <c r="L30" s="52">
        <f aca="true" t="shared" si="4" ref="L30:L47">K30-J30</f>
        <v>0</v>
      </c>
      <c r="M30" s="52"/>
      <c r="N30" s="52">
        <f t="shared" si="2"/>
        <v>0</v>
      </c>
      <c r="O30" s="52">
        <f t="shared" si="3"/>
        <v>0</v>
      </c>
      <c r="P30" s="68"/>
      <c r="Q30" s="68"/>
      <c r="R30" s="68"/>
      <c r="S30" s="68"/>
      <c r="T30" s="68"/>
      <c r="U30" s="68"/>
      <c r="V30" s="68"/>
      <c r="W30" s="68"/>
      <c r="X30" s="112"/>
      <c r="Y30" s="112"/>
      <c r="Z30" s="68"/>
      <c r="AA30" s="112"/>
    </row>
    <row r="31" spans="1:27" s="44" customFormat="1" ht="15" outlineLevel="1">
      <c r="A31" s="71">
        <v>11</v>
      </c>
      <c r="B31" s="110"/>
      <c r="C31" s="56" t="s">
        <v>110</v>
      </c>
      <c r="D31" s="42" t="s">
        <v>140</v>
      </c>
      <c r="E31" s="50">
        <f>168.78*10</f>
        <v>1687.8</v>
      </c>
      <c r="F31" s="51">
        <v>10</v>
      </c>
      <c r="G31" s="51">
        <v>10</v>
      </c>
      <c r="H31" s="104"/>
      <c r="I31" s="104"/>
      <c r="J31" s="52">
        <f>E31*1.07*1.07*1.07</f>
        <v>2067.6275754000003</v>
      </c>
      <c r="K31" s="52">
        <v>2066.74</v>
      </c>
      <c r="L31" s="52">
        <f t="shared" si="4"/>
        <v>-0.8875754000005145</v>
      </c>
      <c r="M31" s="52"/>
      <c r="N31" s="52">
        <f t="shared" si="2"/>
        <v>1302.036881713491</v>
      </c>
      <c r="O31" s="52">
        <f t="shared" si="3"/>
        <v>764.7031182865087</v>
      </c>
      <c r="P31" s="68"/>
      <c r="Q31" s="68"/>
      <c r="R31" s="68"/>
      <c r="S31" s="68"/>
      <c r="T31" s="68"/>
      <c r="U31" s="68"/>
      <c r="V31" s="68"/>
      <c r="W31" s="68"/>
      <c r="X31" s="112"/>
      <c r="Y31" s="112"/>
      <c r="Z31" s="68"/>
      <c r="AA31" s="112"/>
    </row>
    <row r="32" spans="1:27" s="44" customFormat="1" ht="15" outlineLevel="1">
      <c r="A32" s="71">
        <v>12</v>
      </c>
      <c r="B32" s="110"/>
      <c r="C32" s="56" t="s">
        <v>111</v>
      </c>
      <c r="D32" s="42" t="s">
        <v>140</v>
      </c>
      <c r="E32" s="50">
        <f>43.96*7</f>
        <v>307.72</v>
      </c>
      <c r="F32" s="51">
        <v>7</v>
      </c>
      <c r="G32" s="51">
        <v>7</v>
      </c>
      <c r="H32" s="104"/>
      <c r="I32" s="104"/>
      <c r="J32" s="52">
        <f>E32*1.07*1.07*1.07</f>
        <v>376.97023196000015</v>
      </c>
      <c r="K32" s="52">
        <v>370.71</v>
      </c>
      <c r="L32" s="52">
        <f t="shared" si="4"/>
        <v>-6.260231960000169</v>
      </c>
      <c r="M32" s="52"/>
      <c r="N32" s="52">
        <f t="shared" si="2"/>
        <v>233.54562858415102</v>
      </c>
      <c r="O32" s="52">
        <f t="shared" si="3"/>
        <v>137.16437141584896</v>
      </c>
      <c r="P32" s="68"/>
      <c r="Q32" s="68"/>
      <c r="R32" s="68"/>
      <c r="S32" s="68"/>
      <c r="T32" s="68"/>
      <c r="U32" s="68"/>
      <c r="V32" s="68"/>
      <c r="W32" s="68"/>
      <c r="X32" s="112"/>
      <c r="Y32" s="112"/>
      <c r="Z32" s="68"/>
      <c r="AA32" s="112"/>
    </row>
    <row r="33" spans="1:27" s="44" customFormat="1" ht="18" customHeight="1" hidden="1" outlineLevel="1">
      <c r="A33" s="71"/>
      <c r="B33" s="110"/>
      <c r="C33" s="56"/>
      <c r="D33" s="42" t="s">
        <v>140</v>
      </c>
      <c r="E33" s="50">
        <f>15*39.286</f>
        <v>589.29</v>
      </c>
      <c r="F33" s="51"/>
      <c r="G33" s="51"/>
      <c r="H33" s="104"/>
      <c r="I33" s="104"/>
      <c r="J33" s="52"/>
      <c r="K33" s="52"/>
      <c r="L33" s="52">
        <f t="shared" si="4"/>
        <v>0</v>
      </c>
      <c r="M33" s="52"/>
      <c r="N33" s="52">
        <f t="shared" si="2"/>
        <v>0</v>
      </c>
      <c r="O33" s="52">
        <f t="shared" si="3"/>
        <v>0</v>
      </c>
      <c r="P33" s="68"/>
      <c r="Q33" s="68"/>
      <c r="R33" s="68"/>
      <c r="S33" s="68"/>
      <c r="T33" s="68"/>
      <c r="U33" s="68"/>
      <c r="V33" s="68"/>
      <c r="W33" s="68"/>
      <c r="X33" s="112"/>
      <c r="Y33" s="112"/>
      <c r="Z33" s="68"/>
      <c r="AA33" s="112"/>
    </row>
    <row r="34" spans="1:27" s="44" customFormat="1" ht="15" outlineLevel="1">
      <c r="A34" s="71"/>
      <c r="B34" s="110"/>
      <c r="C34" s="59" t="s">
        <v>88</v>
      </c>
      <c r="D34" s="40"/>
      <c r="E34" s="46">
        <f>E47+E36+E37</f>
        <v>11823.71</v>
      </c>
      <c r="F34" s="55"/>
      <c r="G34" s="55">
        <v>0</v>
      </c>
      <c r="H34" s="104"/>
      <c r="I34" s="104"/>
      <c r="J34" s="46">
        <f>SUM(J36:J46)</f>
        <v>7899.132999999998</v>
      </c>
      <c r="K34" s="46">
        <v>8377.722</v>
      </c>
      <c r="L34" s="46">
        <f t="shared" si="4"/>
        <v>478.58900000000176</v>
      </c>
      <c r="M34" s="46"/>
      <c r="N34" s="46">
        <f>SUM(N36:N46)</f>
        <v>5277.9205733092485</v>
      </c>
      <c r="O34" s="46">
        <f>SUM(O36:O46)</f>
        <v>3099.791086690752</v>
      </c>
      <c r="P34" s="68"/>
      <c r="Q34" s="68"/>
      <c r="R34" s="68"/>
      <c r="S34" s="68"/>
      <c r="T34" s="68"/>
      <c r="U34" s="68"/>
      <c r="V34" s="68"/>
      <c r="W34" s="68"/>
      <c r="X34" s="112"/>
      <c r="Y34" s="112"/>
      <c r="Z34" s="68"/>
      <c r="AA34" s="112"/>
    </row>
    <row r="35" spans="1:27" s="44" customFormat="1" ht="15" outlineLevel="1">
      <c r="A35" s="71"/>
      <c r="B35" s="110"/>
      <c r="C35" s="56" t="s">
        <v>59</v>
      </c>
      <c r="D35" s="40"/>
      <c r="E35" s="46"/>
      <c r="F35" s="55"/>
      <c r="G35" s="55"/>
      <c r="H35" s="104"/>
      <c r="I35" s="104"/>
      <c r="J35" s="46"/>
      <c r="K35" s="52"/>
      <c r="L35" s="52">
        <f t="shared" si="4"/>
        <v>0</v>
      </c>
      <c r="M35" s="52"/>
      <c r="N35" s="52">
        <f t="shared" si="2"/>
        <v>0</v>
      </c>
      <c r="O35" s="52">
        <f t="shared" si="3"/>
        <v>0</v>
      </c>
      <c r="P35" s="68"/>
      <c r="Q35" s="68"/>
      <c r="R35" s="68"/>
      <c r="S35" s="68"/>
      <c r="T35" s="68"/>
      <c r="U35" s="68"/>
      <c r="V35" s="68"/>
      <c r="W35" s="68"/>
      <c r="X35" s="112"/>
      <c r="Y35" s="112"/>
      <c r="Z35" s="68"/>
      <c r="AA35" s="112"/>
    </row>
    <row r="36" spans="1:27" s="44" customFormat="1" ht="15" outlineLevel="1">
      <c r="A36" s="71">
        <v>13</v>
      </c>
      <c r="B36" s="110"/>
      <c r="C36" s="56" t="s">
        <v>117</v>
      </c>
      <c r="D36" s="40"/>
      <c r="E36" s="60">
        <v>4353.48</v>
      </c>
      <c r="F36" s="61"/>
      <c r="G36" s="61"/>
      <c r="H36" s="104"/>
      <c r="I36" s="104"/>
      <c r="J36" s="52">
        <v>3084.775</v>
      </c>
      <c r="K36" s="52">
        <v>2916.41686</v>
      </c>
      <c r="L36" s="52">
        <f t="shared" si="4"/>
        <v>-168.35814000000028</v>
      </c>
      <c r="M36" s="52"/>
      <c r="N36" s="52">
        <f t="shared" si="2"/>
        <v>1837.3294725853523</v>
      </c>
      <c r="O36" s="52">
        <f t="shared" si="3"/>
        <v>1079.0873874146475</v>
      </c>
      <c r="P36" s="68"/>
      <c r="Q36" s="68"/>
      <c r="R36" s="68"/>
      <c r="S36" s="68"/>
      <c r="T36" s="68"/>
      <c r="U36" s="68">
        <v>50</v>
      </c>
      <c r="V36" s="68"/>
      <c r="W36" s="68"/>
      <c r="X36" s="112"/>
      <c r="Y36" s="112"/>
      <c r="Z36" s="68"/>
      <c r="AA36" s="112"/>
    </row>
    <row r="37" spans="1:27" s="44" customFormat="1" ht="15" outlineLevel="1">
      <c r="A37" s="71">
        <v>14</v>
      </c>
      <c r="B37" s="110"/>
      <c r="C37" s="56" t="s">
        <v>118</v>
      </c>
      <c r="D37" s="40"/>
      <c r="E37" s="60">
        <v>2434.77</v>
      </c>
      <c r="F37" s="61"/>
      <c r="G37" s="61"/>
      <c r="H37" s="104"/>
      <c r="I37" s="104"/>
      <c r="J37" s="52">
        <v>3310.728</v>
      </c>
      <c r="K37" s="52">
        <f>3506.0098-59.73</f>
        <v>3446.2798</v>
      </c>
      <c r="L37" s="52">
        <f t="shared" si="4"/>
        <v>135.55179999999973</v>
      </c>
      <c r="M37" s="52"/>
      <c r="N37" s="52">
        <f t="shared" si="2"/>
        <v>2171.140735798501</v>
      </c>
      <c r="O37" s="52">
        <f t="shared" si="3"/>
        <v>1275.139064201499</v>
      </c>
      <c r="P37" s="68"/>
      <c r="Q37" s="68"/>
      <c r="R37" s="68"/>
      <c r="S37" s="68"/>
      <c r="T37" s="68"/>
      <c r="U37" s="68">
        <v>50</v>
      </c>
      <c r="V37" s="68"/>
      <c r="W37" s="68"/>
      <c r="X37" s="112"/>
      <c r="Y37" s="112"/>
      <c r="Z37" s="68"/>
      <c r="AA37" s="112"/>
    </row>
    <row r="38" spans="1:27" s="44" customFormat="1" ht="15" outlineLevel="1">
      <c r="A38" s="71">
        <v>15</v>
      </c>
      <c r="B38" s="110"/>
      <c r="C38" s="56" t="s">
        <v>128</v>
      </c>
      <c r="D38" s="40"/>
      <c r="E38" s="60"/>
      <c r="F38" s="61"/>
      <c r="G38" s="61"/>
      <c r="H38" s="104"/>
      <c r="I38" s="104"/>
      <c r="J38" s="52">
        <v>262.07</v>
      </c>
      <c r="K38" s="52">
        <f>467.067+55.357</f>
        <v>522.424</v>
      </c>
      <c r="L38" s="52">
        <f t="shared" si="4"/>
        <v>260.354</v>
      </c>
      <c r="M38" s="52"/>
      <c r="N38" s="52">
        <f t="shared" si="2"/>
        <v>329.1247645530105</v>
      </c>
      <c r="O38" s="52">
        <f t="shared" si="3"/>
        <v>193.29923544698948</v>
      </c>
      <c r="P38" s="68"/>
      <c r="Q38" s="68"/>
      <c r="R38" s="68"/>
      <c r="S38" s="68"/>
      <c r="T38" s="68"/>
      <c r="U38" s="68">
        <v>5</v>
      </c>
      <c r="V38" s="68"/>
      <c r="W38" s="68"/>
      <c r="X38" s="112"/>
      <c r="Y38" s="112"/>
      <c r="Z38" s="68"/>
      <c r="AA38" s="112"/>
    </row>
    <row r="39" spans="1:27" s="44" customFormat="1" ht="15" outlineLevel="1">
      <c r="A39" s="71">
        <v>16</v>
      </c>
      <c r="B39" s="110"/>
      <c r="C39" s="56" t="s">
        <v>129</v>
      </c>
      <c r="D39" s="40"/>
      <c r="E39" s="60"/>
      <c r="F39" s="61"/>
      <c r="G39" s="61"/>
      <c r="H39" s="104"/>
      <c r="I39" s="104"/>
      <c r="J39" s="52">
        <v>494.74</v>
      </c>
      <c r="K39" s="52">
        <f>J39</f>
        <v>494.74</v>
      </c>
      <c r="L39" s="52">
        <f t="shared" si="4"/>
        <v>0</v>
      </c>
      <c r="M39" s="52"/>
      <c r="N39" s="52">
        <f t="shared" si="2"/>
        <v>311.68396937153807</v>
      </c>
      <c r="O39" s="52">
        <f t="shared" si="3"/>
        <v>183.05603062846194</v>
      </c>
      <c r="P39" s="68"/>
      <c r="Q39" s="68"/>
      <c r="R39" s="68"/>
      <c r="S39" s="68"/>
      <c r="T39" s="68"/>
      <c r="U39" s="68">
        <v>5</v>
      </c>
      <c r="V39" s="68"/>
      <c r="W39" s="68"/>
      <c r="X39" s="112"/>
      <c r="Y39" s="112"/>
      <c r="Z39" s="68"/>
      <c r="AA39" s="112"/>
    </row>
    <row r="40" spans="1:27" s="44" customFormat="1" ht="15" outlineLevel="1">
      <c r="A40" s="71">
        <v>17</v>
      </c>
      <c r="B40" s="110"/>
      <c r="C40" s="56" t="s">
        <v>130</v>
      </c>
      <c r="D40" s="40"/>
      <c r="E40" s="60"/>
      <c r="F40" s="61"/>
      <c r="G40" s="61"/>
      <c r="H40" s="104"/>
      <c r="I40" s="104"/>
      <c r="J40" s="52">
        <v>129.48</v>
      </c>
      <c r="K40" s="52">
        <v>320.083</v>
      </c>
      <c r="L40" s="52">
        <f t="shared" si="4"/>
        <v>190.60300000000004</v>
      </c>
      <c r="M40" s="52"/>
      <c r="N40" s="52">
        <f t="shared" si="2"/>
        <v>201.65084684551488</v>
      </c>
      <c r="O40" s="52">
        <f t="shared" si="3"/>
        <v>118.43215315448515</v>
      </c>
      <c r="P40" s="68"/>
      <c r="Q40" s="68"/>
      <c r="R40" s="68"/>
      <c r="S40" s="68"/>
      <c r="T40" s="68"/>
      <c r="U40" s="68">
        <v>5</v>
      </c>
      <c r="V40" s="68"/>
      <c r="W40" s="68"/>
      <c r="X40" s="112"/>
      <c r="Y40" s="112"/>
      <c r="Z40" s="68"/>
      <c r="AA40" s="112"/>
    </row>
    <row r="41" spans="1:27" s="44" customFormat="1" ht="15" outlineLevel="1">
      <c r="A41" s="71">
        <v>18</v>
      </c>
      <c r="B41" s="110"/>
      <c r="C41" s="56" t="s">
        <v>131</v>
      </c>
      <c r="D41" s="40"/>
      <c r="E41" s="60"/>
      <c r="F41" s="61"/>
      <c r="G41" s="61"/>
      <c r="H41" s="104"/>
      <c r="I41" s="104"/>
      <c r="J41" s="52">
        <v>129.48</v>
      </c>
      <c r="K41" s="52">
        <v>189.908</v>
      </c>
      <c r="L41" s="52">
        <f t="shared" si="4"/>
        <v>60.428</v>
      </c>
      <c r="M41" s="52"/>
      <c r="N41" s="52">
        <f t="shared" si="2"/>
        <v>119.64118376401757</v>
      </c>
      <c r="O41" s="52">
        <f t="shared" si="3"/>
        <v>70.26681623598242</v>
      </c>
      <c r="P41" s="68"/>
      <c r="Q41" s="68"/>
      <c r="R41" s="68"/>
      <c r="S41" s="68"/>
      <c r="T41" s="68"/>
      <c r="U41" s="68">
        <v>3</v>
      </c>
      <c r="V41" s="68"/>
      <c r="W41" s="68"/>
      <c r="X41" s="112"/>
      <c r="Y41" s="112"/>
      <c r="Z41" s="68"/>
      <c r="AA41" s="112"/>
    </row>
    <row r="42" spans="1:27" s="44" customFormat="1" ht="15" outlineLevel="1">
      <c r="A42" s="71">
        <v>19</v>
      </c>
      <c r="B42" s="110"/>
      <c r="C42" s="56" t="s">
        <v>132</v>
      </c>
      <c r="D42" s="40"/>
      <c r="E42" s="60"/>
      <c r="F42" s="61"/>
      <c r="G42" s="61"/>
      <c r="H42" s="104"/>
      <c r="I42" s="104"/>
      <c r="J42" s="52">
        <v>119.46</v>
      </c>
      <c r="K42" s="52">
        <f>J42</f>
        <v>119.46</v>
      </c>
      <c r="L42" s="52">
        <f t="shared" si="4"/>
        <v>0</v>
      </c>
      <c r="M42" s="52"/>
      <c r="N42" s="52">
        <f t="shared" si="2"/>
        <v>75.2592613920927</v>
      </c>
      <c r="O42" s="52">
        <f t="shared" si="3"/>
        <v>44.2007386079073</v>
      </c>
      <c r="P42" s="68"/>
      <c r="Q42" s="68"/>
      <c r="R42" s="68"/>
      <c r="S42" s="68"/>
      <c r="T42" s="68"/>
      <c r="U42" s="68">
        <v>5</v>
      </c>
      <c r="V42" s="68"/>
      <c r="W42" s="68"/>
      <c r="X42" s="112"/>
      <c r="Y42" s="112"/>
      <c r="Z42" s="68"/>
      <c r="AA42" s="112"/>
    </row>
    <row r="43" spans="1:27" s="44" customFormat="1" ht="15" outlineLevel="1">
      <c r="A43" s="71">
        <v>20</v>
      </c>
      <c r="B43" s="110"/>
      <c r="C43" s="56" t="s">
        <v>133</v>
      </c>
      <c r="D43" s="40"/>
      <c r="E43" s="60"/>
      <c r="F43" s="61"/>
      <c r="G43" s="61"/>
      <c r="H43" s="104"/>
      <c r="I43" s="104"/>
      <c r="J43" s="52">
        <v>189.21</v>
      </c>
      <c r="K43" s="52">
        <f>J43</f>
        <v>189.21</v>
      </c>
      <c r="L43" s="52">
        <f t="shared" si="4"/>
        <v>0</v>
      </c>
      <c r="M43" s="52"/>
      <c r="N43" s="52">
        <f t="shared" si="2"/>
        <v>119.20144691108203</v>
      </c>
      <c r="O43" s="52">
        <f t="shared" si="3"/>
        <v>70.00855308891798</v>
      </c>
      <c r="P43" s="68"/>
      <c r="Q43" s="68"/>
      <c r="R43" s="68"/>
      <c r="S43" s="68"/>
      <c r="T43" s="68"/>
      <c r="U43" s="68">
        <v>5</v>
      </c>
      <c r="V43" s="68"/>
      <c r="W43" s="68"/>
      <c r="X43" s="112"/>
      <c r="Y43" s="112"/>
      <c r="Z43" s="68"/>
      <c r="AA43" s="112"/>
    </row>
    <row r="44" spans="1:27" s="44" customFormat="1" ht="15" outlineLevel="1">
      <c r="A44" s="71">
        <v>21</v>
      </c>
      <c r="B44" s="110"/>
      <c r="C44" s="56" t="s">
        <v>134</v>
      </c>
      <c r="D44" s="40"/>
      <c r="E44" s="60"/>
      <c r="F44" s="61"/>
      <c r="G44" s="61"/>
      <c r="H44" s="104"/>
      <c r="I44" s="104"/>
      <c r="J44" s="52">
        <v>59.73</v>
      </c>
      <c r="K44" s="52">
        <v>59.73</v>
      </c>
      <c r="L44" s="52">
        <f t="shared" si="4"/>
        <v>0</v>
      </c>
      <c r="M44" s="52"/>
      <c r="N44" s="52">
        <f t="shared" si="2"/>
        <v>37.62963069604635</v>
      </c>
      <c r="O44" s="52">
        <f t="shared" si="3"/>
        <v>22.10036930395365</v>
      </c>
      <c r="P44" s="68"/>
      <c r="Q44" s="68"/>
      <c r="R44" s="68"/>
      <c r="S44" s="68"/>
      <c r="T44" s="68"/>
      <c r="U44" s="68">
        <v>3</v>
      </c>
      <c r="V44" s="68"/>
      <c r="W44" s="68"/>
      <c r="X44" s="112"/>
      <c r="Y44" s="112"/>
      <c r="Z44" s="68"/>
      <c r="AA44" s="112"/>
    </row>
    <row r="45" spans="1:27" s="44" customFormat="1" ht="15" outlineLevel="1">
      <c r="A45" s="71">
        <v>22</v>
      </c>
      <c r="B45" s="110"/>
      <c r="C45" s="56" t="s">
        <v>135</v>
      </c>
      <c r="D45" s="40"/>
      <c r="E45" s="60"/>
      <c r="F45" s="61"/>
      <c r="G45" s="61"/>
      <c r="H45" s="104"/>
      <c r="I45" s="104"/>
      <c r="J45" s="52">
        <v>59.73</v>
      </c>
      <c r="K45" s="52">
        <v>59.73</v>
      </c>
      <c r="L45" s="52">
        <f t="shared" si="4"/>
        <v>0</v>
      </c>
      <c r="M45" s="52"/>
      <c r="N45" s="52">
        <f t="shared" si="2"/>
        <v>37.62963069604635</v>
      </c>
      <c r="O45" s="52">
        <f t="shared" si="3"/>
        <v>22.10036930395365</v>
      </c>
      <c r="P45" s="68"/>
      <c r="Q45" s="68"/>
      <c r="R45" s="68"/>
      <c r="S45" s="68"/>
      <c r="T45" s="68"/>
      <c r="U45" s="68">
        <v>3</v>
      </c>
      <c r="V45" s="68"/>
      <c r="W45" s="68"/>
      <c r="X45" s="112"/>
      <c r="Y45" s="112"/>
      <c r="Z45" s="68"/>
      <c r="AA45" s="112"/>
    </row>
    <row r="46" spans="1:27" s="44" customFormat="1" ht="15" outlineLevel="1">
      <c r="A46" s="71">
        <v>23</v>
      </c>
      <c r="B46" s="110"/>
      <c r="C46" s="56" t="s">
        <v>136</v>
      </c>
      <c r="D46" s="40"/>
      <c r="E46" s="60"/>
      <c r="F46" s="61"/>
      <c r="G46" s="61"/>
      <c r="H46" s="104"/>
      <c r="I46" s="104"/>
      <c r="J46" s="52">
        <v>59.73</v>
      </c>
      <c r="K46" s="52">
        <f>J46</f>
        <v>59.73</v>
      </c>
      <c r="L46" s="52">
        <f t="shared" si="4"/>
        <v>0</v>
      </c>
      <c r="M46" s="52"/>
      <c r="N46" s="52">
        <f t="shared" si="2"/>
        <v>37.62963069604635</v>
      </c>
      <c r="O46" s="52">
        <f t="shared" si="3"/>
        <v>22.10036930395365</v>
      </c>
      <c r="P46" s="68"/>
      <c r="Q46" s="68"/>
      <c r="R46" s="68"/>
      <c r="S46" s="68"/>
      <c r="T46" s="68"/>
      <c r="U46" s="68">
        <v>3</v>
      </c>
      <c r="V46" s="68"/>
      <c r="W46" s="68"/>
      <c r="X46" s="112"/>
      <c r="Y46" s="112"/>
      <c r="Z46" s="68"/>
      <c r="AA46" s="112"/>
    </row>
    <row r="47" spans="1:27" s="48" customFormat="1" ht="15" outlineLevel="1">
      <c r="A47" s="71">
        <v>24</v>
      </c>
      <c r="B47" s="110"/>
      <c r="C47" s="59" t="s">
        <v>119</v>
      </c>
      <c r="D47" s="40" t="s">
        <v>140</v>
      </c>
      <c r="E47" s="43">
        <v>5035.46</v>
      </c>
      <c r="F47" s="45">
        <v>1</v>
      </c>
      <c r="G47" s="45">
        <v>1</v>
      </c>
      <c r="H47" s="104"/>
      <c r="I47" s="104"/>
      <c r="J47" s="46">
        <f>E47*1.07*1.07*1.07</f>
        <v>6168.655024780001</v>
      </c>
      <c r="K47" s="46">
        <v>6143.125</v>
      </c>
      <c r="L47" s="46">
        <f t="shared" si="4"/>
        <v>-25.53002478000144</v>
      </c>
      <c r="M47" s="46"/>
      <c r="N47" s="46">
        <f t="shared" si="2"/>
        <v>3870.1410525640335</v>
      </c>
      <c r="O47" s="46">
        <f t="shared" si="3"/>
        <v>2272.9839474359665</v>
      </c>
      <c r="P47" s="47"/>
      <c r="Q47" s="47"/>
      <c r="R47" s="47"/>
      <c r="S47" s="47"/>
      <c r="T47" s="47"/>
      <c r="U47" s="68">
        <v>80</v>
      </c>
      <c r="V47" s="47"/>
      <c r="W47" s="47"/>
      <c r="X47" s="112"/>
      <c r="Y47" s="112"/>
      <c r="Z47" s="47"/>
      <c r="AA47" s="112"/>
    </row>
    <row r="48" spans="1:27" s="44" customFormat="1" ht="15" outlineLevel="1">
      <c r="A48" s="71"/>
      <c r="B48" s="110"/>
      <c r="C48" s="59" t="s">
        <v>78</v>
      </c>
      <c r="D48" s="40"/>
      <c r="E48" s="46">
        <f>E50</f>
        <v>10704.24</v>
      </c>
      <c r="F48" s="55"/>
      <c r="G48" s="55">
        <v>0</v>
      </c>
      <c r="H48" s="104"/>
      <c r="I48" s="104"/>
      <c r="J48" s="46">
        <f aca="true" t="shared" si="5" ref="J48:O48">J50</f>
        <v>15298.68</v>
      </c>
      <c r="K48" s="46">
        <f t="shared" si="5"/>
        <v>15298.68</v>
      </c>
      <c r="L48" s="46">
        <f t="shared" si="5"/>
        <v>0</v>
      </c>
      <c r="M48" s="46"/>
      <c r="N48" s="46">
        <f t="shared" si="5"/>
        <v>9638.099423020096</v>
      </c>
      <c r="O48" s="46">
        <f t="shared" si="5"/>
        <v>5660.580576979904</v>
      </c>
      <c r="P48" s="68"/>
      <c r="Q48" s="68"/>
      <c r="R48" s="68"/>
      <c r="S48" s="68"/>
      <c r="T48" s="68"/>
      <c r="U48" s="68"/>
      <c r="V48" s="68"/>
      <c r="W48" s="68"/>
      <c r="X48" s="112"/>
      <c r="Y48" s="112"/>
      <c r="Z48" s="68"/>
      <c r="AA48" s="112"/>
    </row>
    <row r="49" spans="1:27" s="44" customFormat="1" ht="15" outlineLevel="1">
      <c r="A49" s="71"/>
      <c r="B49" s="110"/>
      <c r="C49" s="56" t="s">
        <v>59</v>
      </c>
      <c r="D49" s="42"/>
      <c r="E49" s="52"/>
      <c r="F49" s="53"/>
      <c r="G49" s="53"/>
      <c r="H49" s="104"/>
      <c r="I49" s="104"/>
      <c r="J49" s="52"/>
      <c r="K49" s="52"/>
      <c r="L49" s="52">
        <f>K49-J49</f>
        <v>0</v>
      </c>
      <c r="M49" s="52"/>
      <c r="N49" s="52">
        <f t="shared" si="2"/>
        <v>0</v>
      </c>
      <c r="O49" s="52">
        <f t="shared" si="3"/>
        <v>0</v>
      </c>
      <c r="P49" s="68"/>
      <c r="Q49" s="68"/>
      <c r="R49" s="68"/>
      <c r="S49" s="68"/>
      <c r="T49" s="68"/>
      <c r="U49" s="68"/>
      <c r="V49" s="68"/>
      <c r="W49" s="68"/>
      <c r="X49" s="112"/>
      <c r="Y49" s="112"/>
      <c r="Z49" s="68"/>
      <c r="AA49" s="112"/>
    </row>
    <row r="50" spans="1:27" s="44" customFormat="1" ht="15" outlineLevel="1">
      <c r="A50" s="71">
        <v>25</v>
      </c>
      <c r="B50" s="110"/>
      <c r="C50" s="56" t="s">
        <v>112</v>
      </c>
      <c r="D50" s="42" t="s">
        <v>141</v>
      </c>
      <c r="E50" s="50">
        <f>12*892.02</f>
        <v>10704.24</v>
      </c>
      <c r="F50" s="51">
        <v>14</v>
      </c>
      <c r="G50" s="51">
        <v>14</v>
      </c>
      <c r="H50" s="104"/>
      <c r="I50" s="104"/>
      <c r="J50" s="52">
        <v>15298.68</v>
      </c>
      <c r="K50" s="52">
        <v>15298.68</v>
      </c>
      <c r="L50" s="52">
        <f>K50-J50</f>
        <v>0</v>
      </c>
      <c r="M50" s="52"/>
      <c r="N50" s="52">
        <f t="shared" si="2"/>
        <v>9638.099423020096</v>
      </c>
      <c r="O50" s="52">
        <f t="shared" si="3"/>
        <v>5660.580576979904</v>
      </c>
      <c r="P50" s="68"/>
      <c r="Q50" s="68"/>
      <c r="R50" s="68"/>
      <c r="S50" s="68"/>
      <c r="T50" s="68"/>
      <c r="U50" s="68"/>
      <c r="V50" s="68"/>
      <c r="W50" s="68"/>
      <c r="X50" s="112"/>
      <c r="Y50" s="112"/>
      <c r="Z50" s="68"/>
      <c r="AA50" s="112"/>
    </row>
    <row r="51" spans="1:27" s="44" customFormat="1" ht="15" outlineLevel="1">
      <c r="A51" s="71">
        <v>26</v>
      </c>
      <c r="B51" s="111"/>
      <c r="C51" s="59" t="s">
        <v>125</v>
      </c>
      <c r="D51" s="42"/>
      <c r="E51" s="43">
        <f>30111.71429*12</f>
        <v>361340.57148</v>
      </c>
      <c r="F51" s="45"/>
      <c r="G51" s="45"/>
      <c r="H51" s="105"/>
      <c r="I51" s="105"/>
      <c r="J51" s="46">
        <f>E51</f>
        <v>361340.57148</v>
      </c>
      <c r="K51" s="46">
        <v>361340.57</v>
      </c>
      <c r="L51" s="52">
        <f>K51-J51</f>
        <v>-0.0014799999771639705</v>
      </c>
      <c r="M51" s="52"/>
      <c r="N51" s="46">
        <f t="shared" si="2"/>
        <v>227642.92992799068</v>
      </c>
      <c r="O51" s="46">
        <f t="shared" si="3"/>
        <v>133697.64007200932</v>
      </c>
      <c r="P51" s="68"/>
      <c r="Q51" s="68"/>
      <c r="R51" s="68"/>
      <c r="S51" s="68"/>
      <c r="T51" s="68"/>
      <c r="U51" s="68"/>
      <c r="V51" s="68"/>
      <c r="W51" s="68"/>
      <c r="X51" s="112"/>
      <c r="Y51" s="112"/>
      <c r="Z51" s="68"/>
      <c r="AA51" s="112"/>
    </row>
    <row r="52" spans="1:27" s="44" customFormat="1" ht="18" customHeight="1">
      <c r="A52" s="71"/>
      <c r="B52" s="68"/>
      <c r="C52" s="40" t="s">
        <v>166</v>
      </c>
      <c r="D52" s="41"/>
      <c r="E52" s="46"/>
      <c r="F52" s="46"/>
      <c r="G52" s="46"/>
      <c r="H52" s="46"/>
      <c r="I52" s="46">
        <v>34165.61</v>
      </c>
      <c r="J52" s="46">
        <f>J13+J21+J26+J29+J34+J47+J48+J51</f>
        <v>568131.5682317925</v>
      </c>
      <c r="K52" s="46">
        <f>K13+K21+K26+K29+K34+K47+K48+K51</f>
        <v>569586.943</v>
      </c>
      <c r="L52" s="46">
        <f>K52-J52</f>
        <v>1455.3747682074318</v>
      </c>
      <c r="M52" s="46"/>
      <c r="N52" s="46">
        <f>N13+N21+N26+N29+N34+N47+N48+N51</f>
        <v>358837.1994858466</v>
      </c>
      <c r="O52" s="46">
        <f>O13+O21+O26+O29+O34+O47+O48+O51</f>
        <v>210749.73317415337</v>
      </c>
      <c r="P52" s="68"/>
      <c r="Q52" s="68"/>
      <c r="R52" s="47">
        <v>-2.76</v>
      </c>
      <c r="S52" s="47">
        <v>2.46</v>
      </c>
      <c r="T52" s="68"/>
      <c r="U52" s="68"/>
      <c r="V52" s="47">
        <v>0.01</v>
      </c>
      <c r="W52" s="47">
        <f>V53-W53</f>
        <v>1.42</v>
      </c>
      <c r="X52" s="108"/>
      <c r="Y52" s="108"/>
      <c r="Z52" s="68"/>
      <c r="AA52" s="108"/>
    </row>
    <row r="53" spans="11:23" ht="15" hidden="1">
      <c r="K53" s="65"/>
      <c r="N53" s="79">
        <v>358837.206</v>
      </c>
      <c r="P53" s="77">
        <v>2013</v>
      </c>
      <c r="Q53" s="77">
        <v>2014</v>
      </c>
      <c r="R53" s="77">
        <v>2015</v>
      </c>
      <c r="V53" s="39">
        <v>5.04</v>
      </c>
      <c r="W53" s="68">
        <v>3.62</v>
      </c>
    </row>
    <row r="54" spans="11:18" ht="15" hidden="1">
      <c r="K54" s="65"/>
      <c r="L54" s="65"/>
      <c r="M54" s="65"/>
      <c r="N54" s="79">
        <f>N53/K52</f>
        <v>0.629995491311675</v>
      </c>
      <c r="P54" s="65">
        <v>1298021.07</v>
      </c>
      <c r="Q54" s="65">
        <v>1262197.27</v>
      </c>
      <c r="R54" s="65">
        <v>1293199.397</v>
      </c>
    </row>
    <row r="55" spans="17:18" ht="15" hidden="1">
      <c r="Q55" s="80">
        <f>Q54/P54*100-100</f>
        <v>-2.7598781582181857</v>
      </c>
      <c r="R55" s="80">
        <f>R54/Q54*100-100</f>
        <v>2.4562029832309946</v>
      </c>
    </row>
    <row r="57" ht="15">
      <c r="Q57" s="65"/>
    </row>
  </sheetData>
  <sheetProtection/>
  <mergeCells count="32">
    <mergeCell ref="R9:Y9"/>
    <mergeCell ref="Z9:Z11"/>
    <mergeCell ref="AA9:AA11"/>
    <mergeCell ref="R10:S10"/>
    <mergeCell ref="T10:U10"/>
    <mergeCell ref="V10:W10"/>
    <mergeCell ref="X10:Y10"/>
    <mergeCell ref="B10:B11"/>
    <mergeCell ref="B13:B51"/>
    <mergeCell ref="H13:H51"/>
    <mergeCell ref="X13:X52"/>
    <mergeCell ref="Y13:Y52"/>
    <mergeCell ref="AA13:AA52"/>
    <mergeCell ref="C1:J1"/>
    <mergeCell ref="C2:J2"/>
    <mergeCell ref="E10:E11"/>
    <mergeCell ref="D10:D11"/>
    <mergeCell ref="C10:C11"/>
    <mergeCell ref="I9:I11"/>
    <mergeCell ref="H10:H11"/>
    <mergeCell ref="F10:G10"/>
    <mergeCell ref="J9:M10"/>
    <mergeCell ref="B9:H9"/>
    <mergeCell ref="A7:AA7"/>
    <mergeCell ref="A8:AA8"/>
    <mergeCell ref="J6:L6"/>
    <mergeCell ref="N10:O10"/>
    <mergeCell ref="N9:Q9"/>
    <mergeCell ref="P10:P11"/>
    <mergeCell ref="Q10:Q11"/>
    <mergeCell ref="I13:I51"/>
    <mergeCell ref="A9:A11"/>
  </mergeCells>
  <printOptions/>
  <pageMargins left="0.17" right="0.17" top="0.28" bottom="0.16" header="0.5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2016-03-24T19:34:39Z</cp:lastPrinted>
  <dcterms:created xsi:type="dcterms:W3CDTF">2006-09-16T00:00:00Z</dcterms:created>
  <dcterms:modified xsi:type="dcterms:W3CDTF">2016-06-03T09:43:13Z</dcterms:modified>
  <cp:category/>
  <cp:version/>
  <cp:contentType/>
  <cp:contentStatus/>
</cp:coreProperties>
</file>