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arif_MRET\Рабочие документы\Годовой отчет 2025\1 полугодие\"/>
    </mc:Choice>
  </mc:AlternateContent>
  <xr:revisionPtr revIDLastSave="0" documentId="13_ncr:1_{9E23F008-E508-48C0-96A0-6FFA8845D9DF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1 вариант" sheetId="1" state="hidden" r:id="rId1"/>
    <sheet name="азамат" sheetId="2" state="hidden" r:id="rId2"/>
    <sheet name="2 вариант" sheetId="3" state="hidden" r:id="rId3"/>
    <sheet name="3 вариант" sheetId="4" state="hidden" r:id="rId4"/>
    <sheet name="шеф корректирр" sheetId="5" state="hidden" r:id="rId5"/>
    <sheet name="прил13 тар смета" sheetId="46" r:id="rId6"/>
    <sheet name="шеф коррект. укороч" sheetId="6" state="hidden" r:id="rId7"/>
  </sheets>
  <definedNames>
    <definedName name="_xlnm.Print_Titles" localSheetId="0">'1 вариант'!$6:$7</definedName>
    <definedName name="_xlnm.Print_Titles" localSheetId="2">'2 вариант'!$6:$7</definedName>
    <definedName name="_xlnm.Print_Titles" localSheetId="3">'3 вариант'!$6:$7</definedName>
    <definedName name="_xlnm.Print_Titles" localSheetId="1">азамат!$9:$10</definedName>
    <definedName name="_xlnm.Print_Titles" localSheetId="5">'прил13 тар смета'!$8:$9</definedName>
    <definedName name="_xlnm.Print_Titles" localSheetId="6">'шеф коррект. укороч'!$6:$7</definedName>
    <definedName name="_xlnm.Print_Titles" localSheetId="4">'шеф корректирр'!$6:$7</definedName>
    <definedName name="_xlnm.Print_Area" localSheetId="5">'прил13 тар смета'!$A$1:$H$74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46" l="1"/>
  <c r="G35" i="46"/>
  <c r="G21" i="46"/>
  <c r="F51" i="46"/>
  <c r="G51" i="46"/>
  <c r="F59" i="46"/>
  <c r="F60" i="46"/>
  <c r="F61" i="46"/>
  <c r="F58" i="46"/>
  <c r="F21" i="46"/>
  <c r="G50" i="46" l="1"/>
  <c r="G20" i="46"/>
  <c r="G15" i="46" l="1"/>
  <c r="G29" i="46"/>
  <c r="G30" i="46"/>
  <c r="G31" i="46"/>
  <c r="G74" i="46"/>
  <c r="G73" i="46"/>
  <c r="G69" i="46"/>
  <c r="G67" i="46"/>
  <c r="G66" i="46"/>
  <c r="G65" i="46"/>
  <c r="G61" i="46"/>
  <c r="G60" i="46"/>
  <c r="G57" i="46"/>
  <c r="G55" i="46"/>
  <c r="G54" i="46"/>
  <c r="G52" i="46"/>
  <c r="G49" i="46"/>
  <c r="G48" i="46"/>
  <c r="G44" i="46"/>
  <c r="G43" i="46"/>
  <c r="G42" i="46"/>
  <c r="G40" i="46"/>
  <c r="G39" i="46"/>
  <c r="G38" i="46"/>
  <c r="G34" i="46"/>
  <c r="G33" i="46"/>
  <c r="G32" i="46"/>
  <c r="G28" i="46"/>
  <c r="G27" i="46"/>
  <c r="G26" i="46"/>
  <c r="G24" i="46"/>
  <c r="G22" i="46"/>
  <c r="G19" i="46"/>
  <c r="G18" i="46"/>
  <c r="G17" i="46"/>
  <c r="G14" i="46"/>
  <c r="G13" i="46"/>
  <c r="G12" i="46"/>
  <c r="G68" i="46"/>
  <c r="F31" i="46" l="1"/>
  <c r="F29" i="46"/>
  <c r="F12" i="46"/>
  <c r="F13" i="46"/>
  <c r="F14" i="46"/>
  <c r="F15" i="46"/>
  <c r="F19" i="46"/>
  <c r="F24" i="46"/>
  <c r="F26" i="46"/>
  <c r="F27" i="46"/>
  <c r="F28" i="46"/>
  <c r="F30" i="46"/>
  <c r="F32" i="46"/>
  <c r="F33" i="46"/>
  <c r="F34" i="46"/>
  <c r="F35" i="46"/>
  <c r="F38" i="46"/>
  <c r="F39" i="46"/>
  <c r="F40" i="46"/>
  <c r="F42" i="46"/>
  <c r="F43" i="46"/>
  <c r="F44" i="46"/>
  <c r="F48" i="46"/>
  <c r="F49" i="46"/>
  <c r="F50" i="46"/>
  <c r="F52" i="46"/>
  <c r="F54" i="46"/>
  <c r="F55" i="46"/>
  <c r="F57" i="46"/>
  <c r="F65" i="46"/>
  <c r="F66" i="46"/>
  <c r="F67" i="46"/>
  <c r="F68" i="46"/>
  <c r="F69" i="46"/>
  <c r="F73" i="46"/>
  <c r="F22" i="46"/>
  <c r="F74" i="46"/>
  <c r="AB185" i="6"/>
  <c r="AA185" i="6"/>
  <c r="Z185" i="6"/>
  <c r="Y185" i="6"/>
  <c r="X185" i="6"/>
  <c r="T185" i="6"/>
  <c r="S185" i="6"/>
  <c r="R185" i="6"/>
  <c r="Q185" i="6"/>
  <c r="P185" i="6"/>
  <c r="G156" i="6"/>
  <c r="F156" i="6"/>
  <c r="G154" i="6"/>
  <c r="F154" i="6"/>
  <c r="D150" i="6"/>
  <c r="D157" i="6" s="1"/>
  <c r="D158" i="6" s="1"/>
  <c r="W144" i="6"/>
  <c r="O144" i="6"/>
  <c r="I144" i="6"/>
  <c r="AB140" i="6"/>
  <c r="AB141" i="6" s="1"/>
  <c r="AA140" i="6"/>
  <c r="AA141" i="6" s="1"/>
  <c r="Z140" i="6"/>
  <c r="Z141" i="6"/>
  <c r="Y140" i="6"/>
  <c r="Y141" i="6" s="1"/>
  <c r="X140" i="6"/>
  <c r="X141" i="6" s="1"/>
  <c r="T140" i="6"/>
  <c r="T141" i="6" s="1"/>
  <c r="S140" i="6"/>
  <c r="S141" i="6" s="1"/>
  <c r="R140" i="6"/>
  <c r="R141" i="6" s="1"/>
  <c r="Q140" i="6"/>
  <c r="Q141" i="6" s="1"/>
  <c r="P140" i="6"/>
  <c r="P141" i="6" s="1"/>
  <c r="N137" i="6"/>
  <c r="M137" i="6"/>
  <c r="L137" i="6"/>
  <c r="K137" i="6"/>
  <c r="G137" i="6"/>
  <c r="F137" i="6"/>
  <c r="N136" i="6"/>
  <c r="M136" i="6"/>
  <c r="L136" i="6"/>
  <c r="K136" i="6"/>
  <c r="J136" i="6"/>
  <c r="N135" i="6"/>
  <c r="M135" i="6"/>
  <c r="L135" i="6"/>
  <c r="K135" i="6"/>
  <c r="G135" i="6"/>
  <c r="F135" i="6"/>
  <c r="G133" i="6"/>
  <c r="G136" i="6" s="1"/>
  <c r="F133" i="6"/>
  <c r="F136" i="6" s="1"/>
  <c r="G129" i="6"/>
  <c r="F129" i="6"/>
  <c r="W126" i="6"/>
  <c r="W129" i="6" s="1"/>
  <c r="O126" i="6"/>
  <c r="O129" i="6" s="1"/>
  <c r="I126" i="6"/>
  <c r="I123" i="6"/>
  <c r="H122" i="6"/>
  <c r="H125" i="6" s="1"/>
  <c r="H129" i="6" s="1"/>
  <c r="I121" i="6"/>
  <c r="Y120" i="6"/>
  <c r="Z120" i="6" s="1"/>
  <c r="AA120" i="6" s="1"/>
  <c r="AB120" i="6" s="1"/>
  <c r="Q120" i="6"/>
  <c r="R120" i="6" s="1"/>
  <c r="S120" i="6" s="1"/>
  <c r="T120" i="6" s="1"/>
  <c r="I120" i="6"/>
  <c r="Y119" i="6"/>
  <c r="Z119" i="6" s="1"/>
  <c r="AA119" i="6" s="1"/>
  <c r="AB119" i="6" s="1"/>
  <c r="Q119" i="6"/>
  <c r="R119" i="6" s="1"/>
  <c r="S119" i="6" s="1"/>
  <c r="T119" i="6" s="1"/>
  <c r="I119" i="6"/>
  <c r="W118" i="6"/>
  <c r="O118" i="6"/>
  <c r="I118" i="6"/>
  <c r="X117" i="6"/>
  <c r="Y117" i="6" s="1"/>
  <c r="Z117" i="6" s="1"/>
  <c r="AA117" i="6" s="1"/>
  <c r="AB117" i="6" s="1"/>
  <c r="I117" i="6"/>
  <c r="F117" i="6"/>
  <c r="P117" i="6" s="1"/>
  <c r="Q117" i="6" s="1"/>
  <c r="R117" i="6" s="1"/>
  <c r="S117" i="6" s="1"/>
  <c r="T117" i="6" s="1"/>
  <c r="X116" i="6"/>
  <c r="Y116" i="6" s="1"/>
  <c r="P116" i="6"/>
  <c r="I116" i="6"/>
  <c r="X115" i="6"/>
  <c r="Y115" i="6" s="1"/>
  <c r="Z115" i="6" s="1"/>
  <c r="P115" i="6"/>
  <c r="Q115" i="6" s="1"/>
  <c r="R115" i="6" s="1"/>
  <c r="I115" i="6"/>
  <c r="W114" i="6"/>
  <c r="O114" i="6"/>
  <c r="I114" i="6"/>
  <c r="N113" i="6"/>
  <c r="M113" i="6"/>
  <c r="L113" i="6"/>
  <c r="K113" i="6"/>
  <c r="J113" i="6"/>
  <c r="G113" i="6"/>
  <c r="W112" i="6"/>
  <c r="O112" i="6"/>
  <c r="I112" i="6"/>
  <c r="G112" i="6"/>
  <c r="F112" i="6"/>
  <c r="Y111" i="6"/>
  <c r="Z111" i="6" s="1"/>
  <c r="AA111" i="6" s="1"/>
  <c r="Q111" i="6"/>
  <c r="R111" i="6" s="1"/>
  <c r="S111" i="6" s="1"/>
  <c r="T111" i="6" s="1"/>
  <c r="I111" i="6"/>
  <c r="X110" i="6"/>
  <c r="Y110" i="6" s="1"/>
  <c r="P110" i="6"/>
  <c r="Q110" i="6" s="1"/>
  <c r="R110" i="6" s="1"/>
  <c r="K110" i="6"/>
  <c r="L110" i="6" s="1"/>
  <c r="M110" i="6" s="1"/>
  <c r="G110" i="6"/>
  <c r="F110" i="6"/>
  <c r="X109" i="6"/>
  <c r="W109" i="6" s="1"/>
  <c r="P109" i="6"/>
  <c r="O109" i="6" s="1"/>
  <c r="I109" i="6"/>
  <c r="W108" i="6"/>
  <c r="O108" i="6"/>
  <c r="I108" i="6"/>
  <c r="X107" i="6"/>
  <c r="Y107" i="6"/>
  <c r="Z107" i="6" s="1"/>
  <c r="AA107" i="6" s="1"/>
  <c r="AB107" i="6" s="1"/>
  <c r="P107" i="6"/>
  <c r="Q107" i="6" s="1"/>
  <c r="R107" i="6" s="1"/>
  <c r="S107" i="6" s="1"/>
  <c r="T107" i="6" s="1"/>
  <c r="I107" i="6"/>
  <c r="W106" i="6"/>
  <c r="O106" i="6"/>
  <c r="I106" i="6"/>
  <c r="Y105" i="6"/>
  <c r="Z105" i="6" s="1"/>
  <c r="AA105" i="6" s="1"/>
  <c r="Q105" i="6"/>
  <c r="R105" i="6"/>
  <c r="S105" i="6" s="1"/>
  <c r="T105" i="6" s="1"/>
  <c r="I105" i="6"/>
  <c r="Y104" i="6"/>
  <c r="Z104" i="6" s="1"/>
  <c r="AA104" i="6" s="1"/>
  <c r="AB104" i="6" s="1"/>
  <c r="Q104" i="6"/>
  <c r="R104" i="6" s="1"/>
  <c r="I104" i="6"/>
  <c r="Y103" i="6"/>
  <c r="Z103" i="6" s="1"/>
  <c r="AA103" i="6" s="1"/>
  <c r="Q103" i="6"/>
  <c r="R103" i="6" s="1"/>
  <c r="S103" i="6" s="1"/>
  <c r="I103" i="6"/>
  <c r="W102" i="6"/>
  <c r="O102" i="6"/>
  <c r="I102" i="6"/>
  <c r="W101" i="6"/>
  <c r="O101" i="6"/>
  <c r="I101" i="6"/>
  <c r="W100" i="6"/>
  <c r="O100" i="6"/>
  <c r="I100" i="6"/>
  <c r="G100" i="6"/>
  <c r="F100" i="6"/>
  <c r="X99" i="6"/>
  <c r="J99" i="6"/>
  <c r="F99" i="6"/>
  <c r="W98" i="6"/>
  <c r="O98" i="6"/>
  <c r="I98" i="6"/>
  <c r="W97" i="6"/>
  <c r="O97" i="6"/>
  <c r="I97" i="6"/>
  <c r="P96" i="6"/>
  <c r="I96" i="6"/>
  <c r="W95" i="6"/>
  <c r="O95" i="6"/>
  <c r="I95" i="6"/>
  <c r="W94" i="6"/>
  <c r="W93" i="6" s="1"/>
  <c r="O94" i="6"/>
  <c r="I94" i="6"/>
  <c r="I93" i="6" s="1"/>
  <c r="I90" i="6" s="1"/>
  <c r="N93" i="6"/>
  <c r="N90" i="6" s="1"/>
  <c r="M93" i="6"/>
  <c r="M90" i="6" s="1"/>
  <c r="L93" i="6"/>
  <c r="K93" i="6"/>
  <c r="J93" i="6"/>
  <c r="P93" i="6" s="1"/>
  <c r="G93" i="6"/>
  <c r="F93" i="6"/>
  <c r="F90" i="6" s="1"/>
  <c r="W92" i="6"/>
  <c r="O92" i="6"/>
  <c r="I92" i="6"/>
  <c r="W91" i="6"/>
  <c r="O91" i="6"/>
  <c r="I91" i="6"/>
  <c r="L90" i="6"/>
  <c r="K90" i="6"/>
  <c r="G90" i="6"/>
  <c r="G151" i="6" s="1"/>
  <c r="I89" i="6"/>
  <c r="X87" i="6"/>
  <c r="Y87" i="6" s="1"/>
  <c r="P87" i="6"/>
  <c r="Q87" i="6" s="1"/>
  <c r="Q86" i="6" s="1"/>
  <c r="E87" i="6"/>
  <c r="X86" i="6"/>
  <c r="P86" i="6"/>
  <c r="J86" i="6"/>
  <c r="W83" i="6"/>
  <c r="U83" i="6"/>
  <c r="O83" i="6"/>
  <c r="I83" i="6"/>
  <c r="G83" i="6"/>
  <c r="Y82" i="6"/>
  <c r="Z82" i="6" s="1"/>
  <c r="AA82" i="6" s="1"/>
  <c r="U82" i="6"/>
  <c r="Q82" i="6"/>
  <c r="I82" i="6"/>
  <c r="W81" i="6"/>
  <c r="U81" i="6"/>
  <c r="O81" i="6"/>
  <c r="I81" i="6"/>
  <c r="W80" i="6"/>
  <c r="U80" i="6"/>
  <c r="O80" i="6"/>
  <c r="I80" i="6"/>
  <c r="W79" i="6"/>
  <c r="U79" i="6"/>
  <c r="O79" i="6"/>
  <c r="I79" i="6"/>
  <c r="W78" i="6"/>
  <c r="U78" i="6"/>
  <c r="O78" i="6"/>
  <c r="I78" i="6"/>
  <c r="W77" i="6"/>
  <c r="U77" i="6"/>
  <c r="O77" i="6"/>
  <c r="I77" i="6"/>
  <c r="W76" i="6"/>
  <c r="U76" i="6"/>
  <c r="O76" i="6"/>
  <c r="I76" i="6"/>
  <c r="U75" i="6"/>
  <c r="I75" i="6"/>
  <c r="U74" i="6"/>
  <c r="I74" i="6"/>
  <c r="Y73" i="6"/>
  <c r="Z73" i="6" s="1"/>
  <c r="AA73" i="6" s="1"/>
  <c r="AB73" i="6" s="1"/>
  <c r="U73" i="6"/>
  <c r="Q73" i="6"/>
  <c r="R73" i="6" s="1"/>
  <c r="S73" i="6" s="1"/>
  <c r="T73" i="6" s="1"/>
  <c r="I73" i="6"/>
  <c r="U72" i="6"/>
  <c r="I72" i="6"/>
  <c r="U71" i="6"/>
  <c r="I71" i="6"/>
  <c r="G71" i="6"/>
  <c r="G61" i="6" s="1"/>
  <c r="F71" i="6"/>
  <c r="F61" i="6" s="1"/>
  <c r="F45" i="6" s="1"/>
  <c r="X70" i="6"/>
  <c r="Y70" i="6" s="1"/>
  <c r="Z70" i="6" s="1"/>
  <c r="AA70" i="6" s="1"/>
  <c r="AB70" i="6" s="1"/>
  <c r="P70" i="6"/>
  <c r="Q70" i="6" s="1"/>
  <c r="R70" i="6" s="1"/>
  <c r="S70" i="6" s="1"/>
  <c r="T70" i="6" s="1"/>
  <c r="I70" i="6"/>
  <c r="Y69" i="6"/>
  <c r="Z69" i="6" s="1"/>
  <c r="AA69" i="6" s="1"/>
  <c r="AB69" i="6" s="1"/>
  <c r="U69" i="6"/>
  <c r="Q69" i="6"/>
  <c r="R69" i="6" s="1"/>
  <c r="S69" i="6" s="1"/>
  <c r="T69" i="6" s="1"/>
  <c r="I69" i="6"/>
  <c r="Y68" i="6"/>
  <c r="Z68" i="6" s="1"/>
  <c r="AA68" i="6" s="1"/>
  <c r="AB68" i="6" s="1"/>
  <c r="U68" i="6"/>
  <c r="Q68" i="6"/>
  <c r="R68" i="6" s="1"/>
  <c r="S68" i="6" s="1"/>
  <c r="T68" i="6" s="1"/>
  <c r="I68" i="6"/>
  <c r="Y67" i="6"/>
  <c r="Z67" i="6" s="1"/>
  <c r="AA67" i="6" s="1"/>
  <c r="AB67" i="6" s="1"/>
  <c r="U67" i="6"/>
  <c r="Q67" i="6"/>
  <c r="R67" i="6" s="1"/>
  <c r="S67" i="6" s="1"/>
  <c r="T67" i="6" s="1"/>
  <c r="I67" i="6"/>
  <c r="Y66" i="6"/>
  <c r="Z66" i="6" s="1"/>
  <c r="AA66" i="6" s="1"/>
  <c r="AB66" i="6" s="1"/>
  <c r="U66" i="6"/>
  <c r="Q66" i="6"/>
  <c r="R66" i="6" s="1"/>
  <c r="S66" i="6" s="1"/>
  <c r="T66" i="6" s="1"/>
  <c r="I66" i="6"/>
  <c r="Y65" i="6"/>
  <c r="Z65" i="6" s="1"/>
  <c r="AA65" i="6" s="1"/>
  <c r="AB65" i="6" s="1"/>
  <c r="U65" i="6"/>
  <c r="Q65" i="6"/>
  <c r="R65" i="6" s="1"/>
  <c r="S65" i="6" s="1"/>
  <c r="T65" i="6" s="1"/>
  <c r="I65" i="6"/>
  <c r="Y64" i="6"/>
  <c r="Z64" i="6" s="1"/>
  <c r="AA64" i="6" s="1"/>
  <c r="AB64" i="6" s="1"/>
  <c r="U64" i="6"/>
  <c r="Q64" i="6"/>
  <c r="R64" i="6" s="1"/>
  <c r="S64" i="6" s="1"/>
  <c r="T64" i="6" s="1"/>
  <c r="I64" i="6"/>
  <c r="X63" i="6"/>
  <c r="P63" i="6"/>
  <c r="U63" i="6" s="1"/>
  <c r="I63" i="6"/>
  <c r="X62" i="6"/>
  <c r="Y62" i="6" s="1"/>
  <c r="P62" i="6"/>
  <c r="U62" i="6" s="1"/>
  <c r="I62" i="6"/>
  <c r="N61" i="6"/>
  <c r="M61" i="6"/>
  <c r="L61" i="6"/>
  <c r="K61" i="6"/>
  <c r="J61" i="6"/>
  <c r="Y60" i="6"/>
  <c r="Z60" i="6" s="1"/>
  <c r="AA60" i="6" s="1"/>
  <c r="AB60" i="6" s="1"/>
  <c r="U60" i="6"/>
  <c r="Q60" i="6"/>
  <c r="R60" i="6" s="1"/>
  <c r="S60" i="6" s="1"/>
  <c r="T60" i="6" s="1"/>
  <c r="I60" i="6"/>
  <c r="Y59" i="6"/>
  <c r="Z59" i="6" s="1"/>
  <c r="U59" i="6"/>
  <c r="Q59" i="6"/>
  <c r="R59" i="6" s="1"/>
  <c r="I59" i="6"/>
  <c r="W58" i="6"/>
  <c r="U58" i="6"/>
  <c r="O58" i="6"/>
  <c r="I58" i="6"/>
  <c r="Y57" i="6"/>
  <c r="Z57" i="6" s="1"/>
  <c r="AA57" i="6" s="1"/>
  <c r="AB57" i="6" s="1"/>
  <c r="U57" i="6"/>
  <c r="Q57" i="6"/>
  <c r="R57" i="6" s="1"/>
  <c r="S57" i="6" s="1"/>
  <c r="T57" i="6" s="1"/>
  <c r="I57" i="6"/>
  <c r="W56" i="6"/>
  <c r="U56" i="6"/>
  <c r="O56" i="6"/>
  <c r="I56" i="6"/>
  <c r="X55" i="6"/>
  <c r="Y55" i="6" s="1"/>
  <c r="P55" i="6"/>
  <c r="Q55" i="6" s="1"/>
  <c r="I55" i="6"/>
  <c r="Y54" i="6"/>
  <c r="Z54" i="6" s="1"/>
  <c r="AA54" i="6" s="1"/>
  <c r="U54" i="6"/>
  <c r="Q54" i="6"/>
  <c r="R54" i="6" s="1"/>
  <c r="S54" i="6" s="1"/>
  <c r="I54" i="6"/>
  <c r="Y53" i="6"/>
  <c r="Z53" i="6" s="1"/>
  <c r="AA53" i="6" s="1"/>
  <c r="U53" i="6"/>
  <c r="Q53" i="6"/>
  <c r="R53" i="6" s="1"/>
  <c r="S53" i="6" s="1"/>
  <c r="I53" i="6"/>
  <c r="Y52" i="6"/>
  <c r="Z52" i="6" s="1"/>
  <c r="AA52" i="6" s="1"/>
  <c r="U52" i="6"/>
  <c r="Q52" i="6"/>
  <c r="R52" i="6" s="1"/>
  <c r="S52" i="6" s="1"/>
  <c r="I52" i="6"/>
  <c r="Y51" i="6"/>
  <c r="Z51" i="6" s="1"/>
  <c r="AA51" i="6" s="1"/>
  <c r="Q51" i="6"/>
  <c r="R51" i="6" s="1"/>
  <c r="N51" i="6"/>
  <c r="N49" i="6" s="1"/>
  <c r="M51" i="6"/>
  <c r="M49" i="6" s="1"/>
  <c r="M45" i="6" s="1"/>
  <c r="L51" i="6"/>
  <c r="L49" i="6" s="1"/>
  <c r="K51" i="6"/>
  <c r="K49" i="6" s="1"/>
  <c r="K45" i="6" s="1"/>
  <c r="J51" i="6"/>
  <c r="W50" i="6"/>
  <c r="O50" i="6"/>
  <c r="I50" i="6"/>
  <c r="P49" i="6"/>
  <c r="G49" i="6"/>
  <c r="G45" i="6" s="1"/>
  <c r="Y48" i="6"/>
  <c r="Z48" i="6" s="1"/>
  <c r="AA48" i="6" s="1"/>
  <c r="U48" i="6"/>
  <c r="Q48" i="6"/>
  <c r="R48" i="6" s="1"/>
  <c r="S48" i="6" s="1"/>
  <c r="I48" i="6"/>
  <c r="X47" i="6"/>
  <c r="Y47" i="6" s="1"/>
  <c r="Z47" i="6" s="1"/>
  <c r="AA47" i="6" s="1"/>
  <c r="AB47" i="6" s="1"/>
  <c r="P47" i="6"/>
  <c r="U47" i="6" s="1"/>
  <c r="I47" i="6"/>
  <c r="X46" i="6"/>
  <c r="Y46" i="6" s="1"/>
  <c r="P46" i="6"/>
  <c r="Q46" i="6" s="1"/>
  <c r="R46" i="6" s="1"/>
  <c r="I46" i="6"/>
  <c r="W44" i="6"/>
  <c r="U44" i="6"/>
  <c r="O44" i="6"/>
  <c r="I44" i="6"/>
  <c r="W43" i="6"/>
  <c r="U43" i="6"/>
  <c r="O43" i="6"/>
  <c r="I43" i="6"/>
  <c r="W42" i="6"/>
  <c r="U42" i="6"/>
  <c r="O42" i="6"/>
  <c r="I42" i="6"/>
  <c r="W41" i="6"/>
  <c r="U41" i="6"/>
  <c r="O41" i="6"/>
  <c r="I41" i="6"/>
  <c r="W40" i="6"/>
  <c r="U40" i="6"/>
  <c r="O40" i="6"/>
  <c r="I40" i="6"/>
  <c r="AB39" i="6"/>
  <c r="AA39" i="6"/>
  <c r="Z39" i="6"/>
  <c r="Y39" i="6"/>
  <c r="X39" i="6"/>
  <c r="T39" i="6"/>
  <c r="S39" i="6"/>
  <c r="R39" i="6"/>
  <c r="Q39" i="6"/>
  <c r="O39" i="6" s="1"/>
  <c r="P39" i="6"/>
  <c r="U39" i="6" s="1"/>
  <c r="I39" i="6"/>
  <c r="G39" i="6"/>
  <c r="Y38" i="6"/>
  <c r="Z38" i="6" s="1"/>
  <c r="AA38" i="6" s="1"/>
  <c r="U38" i="6"/>
  <c r="Q38" i="6"/>
  <c r="R38" i="6" s="1"/>
  <c r="S38" i="6" s="1"/>
  <c r="I38" i="6"/>
  <c r="G38" i="6"/>
  <c r="F38" i="6"/>
  <c r="F27" i="6" s="1"/>
  <c r="W37" i="6"/>
  <c r="U37" i="6"/>
  <c r="O37" i="6"/>
  <c r="I37" i="6"/>
  <c r="G37" i="6"/>
  <c r="F37" i="6"/>
  <c r="W36" i="6"/>
  <c r="U36" i="6"/>
  <c r="O36" i="6"/>
  <c r="I36" i="6"/>
  <c r="G36" i="6"/>
  <c r="Y35" i="6"/>
  <c r="Z35" i="6" s="1"/>
  <c r="AA35" i="6" s="1"/>
  <c r="AB35" i="6" s="1"/>
  <c r="U35" i="6"/>
  <c r="Q35" i="6"/>
  <c r="R35" i="6"/>
  <c r="I35" i="6"/>
  <c r="Y34" i="6"/>
  <c r="Z34" i="6" s="1"/>
  <c r="AA34" i="6" s="1"/>
  <c r="AB34" i="6" s="1"/>
  <c r="U34" i="6"/>
  <c r="Q34" i="6"/>
  <c r="R34" i="6" s="1"/>
  <c r="S34" i="6" s="1"/>
  <c r="T34" i="6" s="1"/>
  <c r="I34" i="6"/>
  <c r="Y33" i="6"/>
  <c r="Z33" i="6" s="1"/>
  <c r="AA33" i="6" s="1"/>
  <c r="AB33" i="6" s="1"/>
  <c r="U33" i="6"/>
  <c r="Q33" i="6"/>
  <c r="I33" i="6"/>
  <c r="Y32" i="6"/>
  <c r="Z32" i="6" s="1"/>
  <c r="AA32" i="6" s="1"/>
  <c r="AB32" i="6" s="1"/>
  <c r="U32" i="6"/>
  <c r="Q32" i="6"/>
  <c r="R32" i="6" s="1"/>
  <c r="S32" i="6" s="1"/>
  <c r="T32" i="6" s="1"/>
  <c r="I32" i="6"/>
  <c r="Y31" i="6"/>
  <c r="Z31" i="6" s="1"/>
  <c r="AA31" i="6" s="1"/>
  <c r="AB31" i="6" s="1"/>
  <c r="U31" i="6"/>
  <c r="Q31" i="6"/>
  <c r="R31" i="6" s="1"/>
  <c r="K31" i="6"/>
  <c r="L31" i="6" s="1"/>
  <c r="W30" i="6"/>
  <c r="O30" i="6"/>
  <c r="I30" i="6"/>
  <c r="U30" i="6" s="1"/>
  <c r="X29" i="6"/>
  <c r="Y29" i="6" s="1"/>
  <c r="P29" i="6"/>
  <c r="U29" i="6" s="1"/>
  <c r="I29" i="6"/>
  <c r="Y28" i="6"/>
  <c r="Z28" i="6" s="1"/>
  <c r="U28" i="6"/>
  <c r="Q28" i="6"/>
  <c r="R28" i="6" s="1"/>
  <c r="I28" i="6"/>
  <c r="X27" i="6"/>
  <c r="K27" i="6"/>
  <c r="J27" i="6"/>
  <c r="W26" i="6"/>
  <c r="O26" i="6"/>
  <c r="I26" i="6"/>
  <c r="I25" i="6"/>
  <c r="I140" i="6" s="1"/>
  <c r="I141" i="6" s="1"/>
  <c r="G26" i="6"/>
  <c r="W25" i="6"/>
  <c r="W140" i="6" s="1"/>
  <c r="W141" i="6" s="1"/>
  <c r="O25" i="6"/>
  <c r="O140" i="6" s="1"/>
  <c r="N25" i="6"/>
  <c r="N140" i="6" s="1"/>
  <c r="N141" i="6" s="1"/>
  <c r="M25" i="6"/>
  <c r="M140" i="6" s="1"/>
  <c r="M141" i="6" s="1"/>
  <c r="L25" i="6"/>
  <c r="L140" i="6" s="1"/>
  <c r="L141" i="6" s="1"/>
  <c r="K25" i="6"/>
  <c r="K140" i="6" s="1"/>
  <c r="K141" i="6" s="1"/>
  <c r="J25" i="6"/>
  <c r="J140" i="6" s="1"/>
  <c r="J141" i="6" s="1"/>
  <c r="G25" i="6"/>
  <c r="G140" i="6" s="1"/>
  <c r="G141" i="6" s="1"/>
  <c r="F25" i="6"/>
  <c r="F140" i="6" s="1"/>
  <c r="F141" i="6" s="1"/>
  <c r="I24" i="6"/>
  <c r="I23" i="6"/>
  <c r="I22" i="6"/>
  <c r="G22" i="6"/>
  <c r="F22" i="6"/>
  <c r="F149" i="6"/>
  <c r="W21" i="6"/>
  <c r="O21" i="6"/>
  <c r="I21" i="6"/>
  <c r="I20" i="6"/>
  <c r="Y18" i="6"/>
  <c r="Z18" i="6" s="1"/>
  <c r="AA18" i="6" s="1"/>
  <c r="Q18" i="6"/>
  <c r="R18" i="6" s="1"/>
  <c r="E18" i="6"/>
  <c r="Y17" i="6"/>
  <c r="X17" i="6"/>
  <c r="X20" i="6" s="1"/>
  <c r="P17" i="6"/>
  <c r="I17" i="6"/>
  <c r="I16" i="6" s="1"/>
  <c r="N16" i="6"/>
  <c r="M16" i="6"/>
  <c r="L16" i="6"/>
  <c r="K16" i="6"/>
  <c r="J16" i="6"/>
  <c r="G16" i="6"/>
  <c r="F16" i="6"/>
  <c r="AB15" i="6"/>
  <c r="AA15" i="6"/>
  <c r="Z15" i="6"/>
  <c r="Y15" i="6"/>
  <c r="W15" i="6"/>
  <c r="U15" i="6"/>
  <c r="T15" i="6"/>
  <c r="S15" i="6"/>
  <c r="R15" i="6"/>
  <c r="O15" i="6" s="1"/>
  <c r="Q15" i="6"/>
  <c r="I15" i="6"/>
  <c r="G15" i="6"/>
  <c r="G152" i="6" s="1"/>
  <c r="F15" i="6"/>
  <c r="F152" i="6" s="1"/>
  <c r="W14" i="6"/>
  <c r="U14" i="6"/>
  <c r="O14" i="6"/>
  <c r="I14" i="6"/>
  <c r="F14" i="6"/>
  <c r="U13" i="6"/>
  <c r="X12" i="6"/>
  <c r="Y12" i="6" s="1"/>
  <c r="Z12" i="6" s="1"/>
  <c r="AA12" i="6" s="1"/>
  <c r="AB12" i="6" s="1"/>
  <c r="U12" i="6"/>
  <c r="Q12" i="6"/>
  <c r="R12" i="6" s="1"/>
  <c r="I12" i="6"/>
  <c r="U11" i="6"/>
  <c r="X10" i="6"/>
  <c r="Y10" i="6"/>
  <c r="U10" i="6"/>
  <c r="Q10" i="6"/>
  <c r="I10" i="6"/>
  <c r="F10" i="6"/>
  <c r="P9" i="6"/>
  <c r="N9" i="6"/>
  <c r="M9" i="6"/>
  <c r="L9" i="6"/>
  <c r="K9" i="6"/>
  <c r="J9" i="6"/>
  <c r="G9" i="6"/>
  <c r="AB185" i="5"/>
  <c r="AA185" i="5"/>
  <c r="Z185" i="5"/>
  <c r="Y185" i="5"/>
  <c r="X185" i="5"/>
  <c r="T185" i="5"/>
  <c r="S185" i="5"/>
  <c r="R185" i="5"/>
  <c r="Q185" i="5"/>
  <c r="P185" i="5"/>
  <c r="G156" i="5"/>
  <c r="F156" i="5"/>
  <c r="G154" i="5"/>
  <c r="F154" i="5"/>
  <c r="D150" i="5"/>
  <c r="D157" i="5" s="1"/>
  <c r="D158" i="5" s="1"/>
  <c r="W144" i="5"/>
  <c r="O144" i="5"/>
  <c r="I144" i="5"/>
  <c r="AB140" i="5"/>
  <c r="AB141" i="5" s="1"/>
  <c r="AA140" i="5"/>
  <c r="AA141" i="5" s="1"/>
  <c r="Z140" i="5"/>
  <c r="Z141" i="5" s="1"/>
  <c r="Y140" i="5"/>
  <c r="Y141" i="5" s="1"/>
  <c r="X140" i="5"/>
  <c r="X141" i="5" s="1"/>
  <c r="T140" i="5"/>
  <c r="T141" i="5" s="1"/>
  <c r="S140" i="5"/>
  <c r="S141" i="5" s="1"/>
  <c r="R140" i="5"/>
  <c r="R141" i="5" s="1"/>
  <c r="Q140" i="5"/>
  <c r="Q141" i="5" s="1"/>
  <c r="P140" i="5"/>
  <c r="P141" i="5" s="1"/>
  <c r="N137" i="5"/>
  <c r="M137" i="5"/>
  <c r="L137" i="5"/>
  <c r="K137" i="5"/>
  <c r="G137" i="5"/>
  <c r="F137" i="5"/>
  <c r="N136" i="5"/>
  <c r="M136" i="5"/>
  <c r="L136" i="5"/>
  <c r="K136" i="5"/>
  <c r="J136" i="5"/>
  <c r="N135" i="5"/>
  <c r="M135" i="5"/>
  <c r="L135" i="5"/>
  <c r="K135" i="5"/>
  <c r="G135" i="5"/>
  <c r="F135" i="5"/>
  <c r="G133" i="5"/>
  <c r="G136" i="5" s="1"/>
  <c r="F133" i="5"/>
  <c r="F136" i="5" s="1"/>
  <c r="G129" i="5"/>
  <c r="F129" i="5"/>
  <c r="W126" i="5"/>
  <c r="W129" i="5" s="1"/>
  <c r="O126" i="5"/>
  <c r="O129" i="5" s="1"/>
  <c r="I126" i="5"/>
  <c r="I123" i="5"/>
  <c r="H122" i="5"/>
  <c r="H125" i="5" s="1"/>
  <c r="H129" i="5" s="1"/>
  <c r="I121" i="5"/>
  <c r="Y120" i="5"/>
  <c r="Z120" i="5" s="1"/>
  <c r="AA120" i="5" s="1"/>
  <c r="AB120" i="5" s="1"/>
  <c r="Q120" i="5"/>
  <c r="R120" i="5"/>
  <c r="S120" i="5" s="1"/>
  <c r="T120" i="5" s="1"/>
  <c r="I120" i="5"/>
  <c r="Z119" i="5"/>
  <c r="AA119" i="5" s="1"/>
  <c r="AB119" i="5" s="1"/>
  <c r="Y119" i="5"/>
  <c r="R119" i="5"/>
  <c r="S119" i="5" s="1"/>
  <c r="T119" i="5" s="1"/>
  <c r="Q119" i="5"/>
  <c r="I119" i="5"/>
  <c r="W118" i="5"/>
  <c r="O118" i="5"/>
  <c r="I118" i="5"/>
  <c r="X117" i="5"/>
  <c r="Y117" i="5" s="1"/>
  <c r="Z117" i="5" s="1"/>
  <c r="AA117" i="5" s="1"/>
  <c r="AB117" i="5" s="1"/>
  <c r="I117" i="5"/>
  <c r="F117" i="5"/>
  <c r="P117" i="5" s="1"/>
  <c r="X116" i="5"/>
  <c r="Y116" i="5" s="1"/>
  <c r="P116" i="5"/>
  <c r="Q116" i="5" s="1"/>
  <c r="I116" i="5"/>
  <c r="X115" i="5"/>
  <c r="Y115" i="5" s="1"/>
  <c r="Z115" i="5" s="1"/>
  <c r="P115" i="5"/>
  <c r="Q115" i="5" s="1"/>
  <c r="R115" i="5" s="1"/>
  <c r="I115" i="5"/>
  <c r="W114" i="5"/>
  <c r="O114" i="5"/>
  <c r="I114" i="5"/>
  <c r="N113" i="5"/>
  <c r="M113" i="5"/>
  <c r="L113" i="5"/>
  <c r="K113" i="5"/>
  <c r="J113" i="5"/>
  <c r="I113" i="5" s="1"/>
  <c r="G113" i="5"/>
  <c r="F113" i="5"/>
  <c r="W112" i="5"/>
  <c r="O112" i="5"/>
  <c r="I112" i="5"/>
  <c r="G112" i="5"/>
  <c r="F112" i="5"/>
  <c r="Y111" i="5"/>
  <c r="Z111" i="5" s="1"/>
  <c r="AA111" i="5" s="1"/>
  <c r="Q111" i="5"/>
  <c r="R111" i="5" s="1"/>
  <c r="S111" i="5" s="1"/>
  <c r="T111" i="5" s="1"/>
  <c r="I111" i="5"/>
  <c r="X110" i="5"/>
  <c r="Y110" i="5" s="1"/>
  <c r="Z110" i="5" s="1"/>
  <c r="P110" i="5"/>
  <c r="Q110" i="5" s="1"/>
  <c r="R110" i="5" s="1"/>
  <c r="K110" i="5"/>
  <c r="L110" i="5" s="1"/>
  <c r="G110" i="5"/>
  <c r="F110" i="5"/>
  <c r="X109" i="5"/>
  <c r="W109" i="5" s="1"/>
  <c r="P109" i="5"/>
  <c r="O109" i="5" s="1"/>
  <c r="I109" i="5"/>
  <c r="W108" i="5"/>
  <c r="O108" i="5"/>
  <c r="I108" i="5"/>
  <c r="X107" i="5"/>
  <c r="Y107" i="5" s="1"/>
  <c r="Z107" i="5" s="1"/>
  <c r="AA107" i="5" s="1"/>
  <c r="AB107" i="5" s="1"/>
  <c r="P107" i="5"/>
  <c r="Q107" i="5" s="1"/>
  <c r="R107" i="5" s="1"/>
  <c r="S107" i="5" s="1"/>
  <c r="T107" i="5" s="1"/>
  <c r="I107" i="5"/>
  <c r="W106" i="5"/>
  <c r="O106" i="5"/>
  <c r="I106" i="5"/>
  <c r="Y105" i="5"/>
  <c r="Z105" i="5" s="1"/>
  <c r="AA105" i="5" s="1"/>
  <c r="Q105" i="5"/>
  <c r="R105" i="5" s="1"/>
  <c r="S105" i="5" s="1"/>
  <c r="T105" i="5" s="1"/>
  <c r="I105" i="5"/>
  <c r="Y104" i="5"/>
  <c r="Z104" i="5" s="1"/>
  <c r="Q104" i="5"/>
  <c r="R104" i="5" s="1"/>
  <c r="S104" i="5" s="1"/>
  <c r="I104" i="5"/>
  <c r="Y103" i="5"/>
  <c r="Q103" i="5"/>
  <c r="R103" i="5" s="1"/>
  <c r="I103" i="5"/>
  <c r="W102" i="5"/>
  <c r="O102" i="5"/>
  <c r="I102" i="5"/>
  <c r="W101" i="5"/>
  <c r="O101" i="5"/>
  <c r="I101" i="5"/>
  <c r="W100" i="5"/>
  <c r="O100" i="5"/>
  <c r="I100" i="5"/>
  <c r="G100" i="5"/>
  <c r="G99" i="5" s="1"/>
  <c r="F100" i="5"/>
  <c r="X99" i="5"/>
  <c r="P99" i="5"/>
  <c r="K99" i="5"/>
  <c r="J99" i="5"/>
  <c r="F99" i="5"/>
  <c r="W98" i="5"/>
  <c r="O98" i="5"/>
  <c r="I98" i="5"/>
  <c r="W97" i="5"/>
  <c r="O97" i="5"/>
  <c r="I97" i="5"/>
  <c r="P96" i="5"/>
  <c r="Q96" i="5" s="1"/>
  <c r="R96" i="5" s="1"/>
  <c r="I96" i="5"/>
  <c r="W95" i="5"/>
  <c r="O95" i="5"/>
  <c r="I95" i="5"/>
  <c r="W94" i="5"/>
  <c r="W93" i="5" s="1"/>
  <c r="O94" i="5"/>
  <c r="I94" i="5"/>
  <c r="I93" i="5" s="1"/>
  <c r="I90" i="5" s="1"/>
  <c r="N93" i="5"/>
  <c r="N90" i="5" s="1"/>
  <c r="N85" i="5" s="1"/>
  <c r="N84" i="5" s="1"/>
  <c r="M93" i="5"/>
  <c r="L93" i="5"/>
  <c r="K93" i="5"/>
  <c r="K90" i="5" s="1"/>
  <c r="J93" i="5"/>
  <c r="P93" i="5" s="1"/>
  <c r="G93" i="5"/>
  <c r="G90" i="5" s="1"/>
  <c r="G151" i="5" s="1"/>
  <c r="F93" i="5"/>
  <c r="F90" i="5" s="1"/>
  <c r="W92" i="5"/>
  <c r="O92" i="5"/>
  <c r="I92" i="5"/>
  <c r="W91" i="5"/>
  <c r="O91" i="5"/>
  <c r="I91" i="5"/>
  <c r="M90" i="5"/>
  <c r="L90" i="5"/>
  <c r="J90" i="5"/>
  <c r="I89" i="5"/>
  <c r="X87" i="5"/>
  <c r="Y87" i="5" s="1"/>
  <c r="P87" i="5"/>
  <c r="Q87" i="5" s="1"/>
  <c r="E87" i="5"/>
  <c r="J86" i="5"/>
  <c r="W83" i="5"/>
  <c r="U83" i="5"/>
  <c r="O83" i="5"/>
  <c r="I83" i="5"/>
  <c r="G83" i="5"/>
  <c r="Y82" i="5"/>
  <c r="Z82" i="5" s="1"/>
  <c r="AA82" i="5" s="1"/>
  <c r="AB82" i="5" s="1"/>
  <c r="U82" i="5"/>
  <c r="Q82" i="5"/>
  <c r="R82" i="5" s="1"/>
  <c r="S82" i="5" s="1"/>
  <c r="T82" i="5" s="1"/>
  <c r="I82" i="5"/>
  <c r="W81" i="5"/>
  <c r="U81" i="5"/>
  <c r="O81" i="5"/>
  <c r="I81" i="5"/>
  <c r="W80" i="5"/>
  <c r="U80" i="5"/>
  <c r="O80" i="5"/>
  <c r="I80" i="5"/>
  <c r="W79" i="5"/>
  <c r="U79" i="5"/>
  <c r="O79" i="5"/>
  <c r="I79" i="5"/>
  <c r="W78" i="5"/>
  <c r="U78" i="5"/>
  <c r="O78" i="5"/>
  <c r="I78" i="5"/>
  <c r="W77" i="5"/>
  <c r="U77" i="5"/>
  <c r="O77" i="5"/>
  <c r="I77" i="5"/>
  <c r="W76" i="5"/>
  <c r="U76" i="5"/>
  <c r="O76" i="5"/>
  <c r="I76" i="5"/>
  <c r="U75" i="5"/>
  <c r="I75" i="5"/>
  <c r="U74" i="5"/>
  <c r="I74" i="5"/>
  <c r="Y73" i="5"/>
  <c r="Z73" i="5" s="1"/>
  <c r="AA73" i="5" s="1"/>
  <c r="AB73" i="5" s="1"/>
  <c r="U73" i="5"/>
  <c r="Q73" i="5"/>
  <c r="R73" i="5" s="1"/>
  <c r="S73" i="5" s="1"/>
  <c r="T73" i="5" s="1"/>
  <c r="I73" i="5"/>
  <c r="U72" i="5"/>
  <c r="I72" i="5"/>
  <c r="U71" i="5"/>
  <c r="I71" i="5"/>
  <c r="G71" i="5"/>
  <c r="F71" i="5"/>
  <c r="F61" i="5" s="1"/>
  <c r="F45" i="5" s="1"/>
  <c r="X70" i="5"/>
  <c r="Y70" i="5" s="1"/>
  <c r="Z70" i="5" s="1"/>
  <c r="AA70" i="5" s="1"/>
  <c r="AB70" i="5" s="1"/>
  <c r="P70" i="5"/>
  <c r="Q70" i="5" s="1"/>
  <c r="R70" i="5" s="1"/>
  <c r="S70" i="5" s="1"/>
  <c r="T70" i="5" s="1"/>
  <c r="I70" i="5"/>
  <c r="Y69" i="5"/>
  <c r="Z69" i="5" s="1"/>
  <c r="AA69" i="5" s="1"/>
  <c r="AB69" i="5" s="1"/>
  <c r="U69" i="5"/>
  <c r="Q69" i="5"/>
  <c r="R69" i="5" s="1"/>
  <c r="S69" i="5" s="1"/>
  <c r="T69" i="5" s="1"/>
  <c r="I69" i="5"/>
  <c r="Y68" i="5"/>
  <c r="Z68" i="5" s="1"/>
  <c r="AA68" i="5" s="1"/>
  <c r="AB68" i="5" s="1"/>
  <c r="U68" i="5"/>
  <c r="Q68" i="5"/>
  <c r="R68" i="5" s="1"/>
  <c r="S68" i="5" s="1"/>
  <c r="T68" i="5" s="1"/>
  <c r="I68" i="5"/>
  <c r="Y67" i="5"/>
  <c r="Z67" i="5" s="1"/>
  <c r="AA67" i="5" s="1"/>
  <c r="AB67" i="5" s="1"/>
  <c r="U67" i="5"/>
  <c r="Q67" i="5"/>
  <c r="R67" i="5" s="1"/>
  <c r="S67" i="5" s="1"/>
  <c r="T67" i="5" s="1"/>
  <c r="I67" i="5"/>
  <c r="Y66" i="5"/>
  <c r="Z66" i="5" s="1"/>
  <c r="AA66" i="5" s="1"/>
  <c r="AB66" i="5" s="1"/>
  <c r="U66" i="5"/>
  <c r="Q66" i="5"/>
  <c r="R66" i="5" s="1"/>
  <c r="S66" i="5" s="1"/>
  <c r="T66" i="5" s="1"/>
  <c r="I66" i="5"/>
  <c r="Y65" i="5"/>
  <c r="Z65" i="5" s="1"/>
  <c r="AA65" i="5" s="1"/>
  <c r="AB65" i="5" s="1"/>
  <c r="U65" i="5"/>
  <c r="Q65" i="5"/>
  <c r="R65" i="5" s="1"/>
  <c r="S65" i="5" s="1"/>
  <c r="T65" i="5" s="1"/>
  <c r="I65" i="5"/>
  <c r="Y64" i="5"/>
  <c r="Z64" i="5" s="1"/>
  <c r="AA64" i="5" s="1"/>
  <c r="AB64" i="5" s="1"/>
  <c r="U64" i="5"/>
  <c r="Q64" i="5"/>
  <c r="R64" i="5" s="1"/>
  <c r="S64" i="5" s="1"/>
  <c r="T64" i="5" s="1"/>
  <c r="I64" i="5"/>
  <c r="X63" i="5"/>
  <c r="X61" i="5" s="1"/>
  <c r="P63" i="5"/>
  <c r="U63" i="5" s="1"/>
  <c r="I63" i="5"/>
  <c r="X62" i="5"/>
  <c r="Y62" i="5" s="1"/>
  <c r="P62" i="5"/>
  <c r="Q62" i="5" s="1"/>
  <c r="I62" i="5"/>
  <c r="N61" i="5"/>
  <c r="M61" i="5"/>
  <c r="L61" i="5"/>
  <c r="K61" i="5"/>
  <c r="J61" i="5"/>
  <c r="G61" i="5"/>
  <c r="G45" i="5" s="1"/>
  <c r="Y60" i="5"/>
  <c r="Z60" i="5" s="1"/>
  <c r="AA60" i="5" s="1"/>
  <c r="U60" i="5"/>
  <c r="Q60" i="5"/>
  <c r="I60" i="5"/>
  <c r="Y59" i="5"/>
  <c r="Z59" i="5" s="1"/>
  <c r="AA59" i="5" s="1"/>
  <c r="U59" i="5"/>
  <c r="Q59" i="5"/>
  <c r="R59" i="5" s="1"/>
  <c r="S59" i="5" s="1"/>
  <c r="I59" i="5"/>
  <c r="W58" i="5"/>
  <c r="U58" i="5"/>
  <c r="O58" i="5"/>
  <c r="I58" i="5"/>
  <c r="Y57" i="5"/>
  <c r="Z57" i="5" s="1"/>
  <c r="AA57" i="5" s="1"/>
  <c r="U57" i="5"/>
  <c r="Q57" i="5"/>
  <c r="R57" i="5" s="1"/>
  <c r="S57" i="5" s="1"/>
  <c r="I57" i="5"/>
  <c r="W56" i="5"/>
  <c r="U56" i="5"/>
  <c r="O56" i="5"/>
  <c r="I56" i="5"/>
  <c r="X55" i="5"/>
  <c r="Y55" i="5" s="1"/>
  <c r="Z55" i="5" s="1"/>
  <c r="AA55" i="5" s="1"/>
  <c r="AB55" i="5" s="1"/>
  <c r="P55" i="5"/>
  <c r="Q55" i="5" s="1"/>
  <c r="R55" i="5" s="1"/>
  <c r="S55" i="5" s="1"/>
  <c r="T55" i="5" s="1"/>
  <c r="I55" i="5"/>
  <c r="Y54" i="5"/>
  <c r="Z54" i="5" s="1"/>
  <c r="AA54" i="5" s="1"/>
  <c r="AB54" i="5" s="1"/>
  <c r="U54" i="5"/>
  <c r="Q54" i="5"/>
  <c r="R54" i="5" s="1"/>
  <c r="S54" i="5" s="1"/>
  <c r="T54" i="5" s="1"/>
  <c r="I54" i="5"/>
  <c r="Y53" i="5"/>
  <c r="Z53" i="5" s="1"/>
  <c r="AA53" i="5" s="1"/>
  <c r="AB53" i="5" s="1"/>
  <c r="U53" i="5"/>
  <c r="Q53" i="5"/>
  <c r="R53" i="5"/>
  <c r="S53" i="5" s="1"/>
  <c r="T53" i="5" s="1"/>
  <c r="I53" i="5"/>
  <c r="Y52" i="5"/>
  <c r="Z52" i="5" s="1"/>
  <c r="AA52" i="5" s="1"/>
  <c r="AB52" i="5" s="1"/>
  <c r="U52" i="5"/>
  <c r="Q52" i="5"/>
  <c r="I52" i="5"/>
  <c r="Y51" i="5"/>
  <c r="Z51" i="5" s="1"/>
  <c r="Q51" i="5"/>
  <c r="R51" i="5" s="1"/>
  <c r="S51" i="5" s="1"/>
  <c r="N51" i="5"/>
  <c r="N49" i="5" s="1"/>
  <c r="N45" i="5" s="1"/>
  <c r="M51" i="5"/>
  <c r="M49" i="5" s="1"/>
  <c r="L51" i="5"/>
  <c r="L49" i="5" s="1"/>
  <c r="L45" i="5" s="1"/>
  <c r="K51" i="5"/>
  <c r="K49" i="5"/>
  <c r="K45" i="5" s="1"/>
  <c r="J51" i="5"/>
  <c r="W50" i="5"/>
  <c r="O50" i="5"/>
  <c r="I50" i="5"/>
  <c r="X49" i="5"/>
  <c r="P49" i="5"/>
  <c r="G49" i="5"/>
  <c r="Y48" i="5"/>
  <c r="U48" i="5"/>
  <c r="Q48" i="5"/>
  <c r="R48" i="5" s="1"/>
  <c r="I48" i="5"/>
  <c r="X47" i="5"/>
  <c r="Y47" i="5" s="1"/>
  <c r="Z47" i="5" s="1"/>
  <c r="P47" i="5"/>
  <c r="U47" i="5" s="1"/>
  <c r="I47" i="5"/>
  <c r="X46" i="5"/>
  <c r="P46" i="5"/>
  <c r="U46" i="5" s="1"/>
  <c r="I46" i="5"/>
  <c r="W44" i="5"/>
  <c r="U44" i="5"/>
  <c r="O44" i="5"/>
  <c r="I44" i="5"/>
  <c r="W43" i="5"/>
  <c r="U43" i="5"/>
  <c r="O43" i="5"/>
  <c r="I43" i="5"/>
  <c r="W42" i="5"/>
  <c r="U42" i="5"/>
  <c r="O42" i="5"/>
  <c r="I42" i="5"/>
  <c r="W41" i="5"/>
  <c r="U41" i="5"/>
  <c r="O41" i="5"/>
  <c r="I41" i="5"/>
  <c r="W40" i="5"/>
  <c r="U40" i="5"/>
  <c r="O40" i="5"/>
  <c r="I40" i="5"/>
  <c r="AB39" i="5"/>
  <c r="AA39" i="5"/>
  <c r="Z39" i="5"/>
  <c r="Y39" i="5"/>
  <c r="X39" i="5"/>
  <c r="T39" i="5"/>
  <c r="S39" i="5"/>
  <c r="R39" i="5"/>
  <c r="Q39" i="5"/>
  <c r="P39" i="5"/>
  <c r="I39" i="5"/>
  <c r="G39" i="5"/>
  <c r="Y38" i="5"/>
  <c r="Z38" i="5" s="1"/>
  <c r="AA38" i="5" s="1"/>
  <c r="U38" i="5"/>
  <c r="Q38" i="5"/>
  <c r="R38" i="5" s="1"/>
  <c r="S38" i="5" s="1"/>
  <c r="I38" i="5"/>
  <c r="G38" i="5"/>
  <c r="F38" i="5"/>
  <c r="W37" i="5"/>
  <c r="U37" i="5"/>
  <c r="O37" i="5"/>
  <c r="I37" i="5"/>
  <c r="G37" i="5"/>
  <c r="F37" i="5"/>
  <c r="F27" i="5" s="1"/>
  <c r="W36" i="5"/>
  <c r="U36" i="5"/>
  <c r="O36" i="5"/>
  <c r="I36" i="5"/>
  <c r="G36" i="5"/>
  <c r="Y35" i="5"/>
  <c r="Z35" i="5" s="1"/>
  <c r="AA35" i="5" s="1"/>
  <c r="U35" i="5"/>
  <c r="Q35" i="5"/>
  <c r="R35" i="5" s="1"/>
  <c r="S35" i="5" s="1"/>
  <c r="T35" i="5" s="1"/>
  <c r="I35" i="5"/>
  <c r="Y34" i="5"/>
  <c r="Z34" i="5" s="1"/>
  <c r="AA34" i="5" s="1"/>
  <c r="U34" i="5"/>
  <c r="Q34" i="5"/>
  <c r="R34" i="5" s="1"/>
  <c r="S34" i="5" s="1"/>
  <c r="I34" i="5"/>
  <c r="Y33" i="5"/>
  <c r="Z33" i="5" s="1"/>
  <c r="AA33" i="5" s="1"/>
  <c r="U33" i="5"/>
  <c r="Q33" i="5"/>
  <c r="I33" i="5"/>
  <c r="Y32" i="5"/>
  <c r="Z32" i="5" s="1"/>
  <c r="AA32" i="5" s="1"/>
  <c r="U32" i="5"/>
  <c r="Q32" i="5"/>
  <c r="R32" i="5" s="1"/>
  <c r="S32" i="5" s="1"/>
  <c r="I32" i="5"/>
  <c r="Y31" i="5"/>
  <c r="Z31" i="5" s="1"/>
  <c r="AA31" i="5" s="1"/>
  <c r="U31" i="5"/>
  <c r="Q31" i="5"/>
  <c r="R31" i="5" s="1"/>
  <c r="S31" i="5" s="1"/>
  <c r="T31" i="5" s="1"/>
  <c r="K31" i="5"/>
  <c r="L31" i="5" s="1"/>
  <c r="W30" i="5"/>
  <c r="O30" i="5"/>
  <c r="I30" i="5"/>
  <c r="U30" i="5" s="1"/>
  <c r="X29" i="5"/>
  <c r="Y29" i="5" s="1"/>
  <c r="P29" i="5"/>
  <c r="Q29" i="5" s="1"/>
  <c r="I29" i="5"/>
  <c r="Y28" i="5"/>
  <c r="U28" i="5"/>
  <c r="Q28" i="5"/>
  <c r="R28" i="5" s="1"/>
  <c r="S28" i="5" s="1"/>
  <c r="I28" i="5"/>
  <c r="J27" i="5"/>
  <c r="W26" i="5"/>
  <c r="O26" i="5"/>
  <c r="I26" i="5"/>
  <c r="I25" i="5" s="1"/>
  <c r="I140" i="5" s="1"/>
  <c r="I141" i="5" s="1"/>
  <c r="G26" i="5"/>
  <c r="G25" i="5" s="1"/>
  <c r="G140" i="5" s="1"/>
  <c r="G141" i="5" s="1"/>
  <c r="W25" i="5"/>
  <c r="W140" i="5" s="1"/>
  <c r="W141" i="5" s="1"/>
  <c r="O25" i="5"/>
  <c r="O140" i="5" s="1"/>
  <c r="O141" i="5" s="1"/>
  <c r="N25" i="5"/>
  <c r="N140" i="5" s="1"/>
  <c r="N141" i="5" s="1"/>
  <c r="M25" i="5"/>
  <c r="M140" i="5" s="1"/>
  <c r="M141" i="5" s="1"/>
  <c r="L25" i="5"/>
  <c r="L140" i="5" s="1"/>
  <c r="L141" i="5" s="1"/>
  <c r="K25" i="5"/>
  <c r="K140" i="5" s="1"/>
  <c r="K141" i="5" s="1"/>
  <c r="J25" i="5"/>
  <c r="J140" i="5" s="1"/>
  <c r="J141" i="5" s="1"/>
  <c r="F25" i="5"/>
  <c r="F140" i="5" s="1"/>
  <c r="F141" i="5" s="1"/>
  <c r="I24" i="5"/>
  <c r="I23" i="5"/>
  <c r="I22" i="5"/>
  <c r="G22" i="5"/>
  <c r="F22" i="5"/>
  <c r="W21" i="5"/>
  <c r="O21" i="5"/>
  <c r="I21" i="5"/>
  <c r="I20" i="5"/>
  <c r="Y18" i="5"/>
  <c r="Z18" i="5" s="1"/>
  <c r="Q18" i="5"/>
  <c r="E18" i="5"/>
  <c r="X17" i="5"/>
  <c r="X136" i="5" s="1"/>
  <c r="P17" i="5"/>
  <c r="P20" i="5" s="1"/>
  <c r="U20" i="5" s="1"/>
  <c r="I17" i="5"/>
  <c r="I16" i="5" s="1"/>
  <c r="N16" i="5"/>
  <c r="M16" i="5"/>
  <c r="L16" i="5"/>
  <c r="K16" i="5"/>
  <c r="J16" i="5"/>
  <c r="G16" i="5"/>
  <c r="F16" i="5"/>
  <c r="AB15" i="5"/>
  <c r="AA15" i="5"/>
  <c r="Z15" i="5"/>
  <c r="Y15" i="5"/>
  <c r="U15" i="5"/>
  <c r="T15" i="5"/>
  <c r="S15" i="5"/>
  <c r="R15" i="5"/>
  <c r="Q15" i="5"/>
  <c r="I15" i="5"/>
  <c r="G15" i="5"/>
  <c r="F15" i="5"/>
  <c r="F152" i="5" s="1"/>
  <c r="W14" i="5"/>
  <c r="U14" i="5"/>
  <c r="O14" i="5"/>
  <c r="I14" i="5"/>
  <c r="F14" i="5"/>
  <c r="F9" i="5" s="1"/>
  <c r="U13" i="5"/>
  <c r="X12" i="5"/>
  <c r="Y12" i="5" s="1"/>
  <c r="Z12" i="5" s="1"/>
  <c r="U12" i="5"/>
  <c r="Q12" i="5"/>
  <c r="R12" i="5" s="1"/>
  <c r="S12" i="5" s="1"/>
  <c r="I12" i="5"/>
  <c r="U11" i="5"/>
  <c r="X10" i="5"/>
  <c r="Y10" i="5" s="1"/>
  <c r="U10" i="5"/>
  <c r="Q10" i="5"/>
  <c r="Q9" i="5" s="1"/>
  <c r="I10" i="5"/>
  <c r="I9" i="5" s="1"/>
  <c r="F10" i="5"/>
  <c r="X9" i="5"/>
  <c r="P9" i="5"/>
  <c r="N9" i="5"/>
  <c r="M9" i="5"/>
  <c r="L9" i="5"/>
  <c r="K9" i="5"/>
  <c r="J9" i="5"/>
  <c r="R187" i="4"/>
  <c r="R190" i="4" s="1"/>
  <c r="Q187" i="4"/>
  <c r="Q190" i="4" s="1"/>
  <c r="P187" i="4"/>
  <c r="P190" i="4" s="1"/>
  <c r="R185" i="4"/>
  <c r="Q185" i="4"/>
  <c r="P185" i="4"/>
  <c r="G156" i="4"/>
  <c r="F156" i="4"/>
  <c r="G154" i="4"/>
  <c r="F154" i="4"/>
  <c r="D150" i="4"/>
  <c r="D157" i="4" s="1"/>
  <c r="D158" i="4" s="1"/>
  <c r="O144" i="4"/>
  <c r="I144" i="4"/>
  <c r="T140" i="4"/>
  <c r="T141" i="4" s="1"/>
  <c r="S140" i="4"/>
  <c r="S141" i="4" s="1"/>
  <c r="R140" i="4"/>
  <c r="R141" i="4" s="1"/>
  <c r="Q140" i="4"/>
  <c r="Q141" i="4" s="1"/>
  <c r="P140" i="4"/>
  <c r="P141" i="4" s="1"/>
  <c r="N137" i="4"/>
  <c r="M137" i="4"/>
  <c r="L137" i="4"/>
  <c r="K137" i="4"/>
  <c r="G137" i="4"/>
  <c r="F137" i="4"/>
  <c r="N136" i="4"/>
  <c r="M136" i="4"/>
  <c r="L136" i="4"/>
  <c r="K136" i="4"/>
  <c r="J136" i="4"/>
  <c r="N135" i="4"/>
  <c r="M135" i="4"/>
  <c r="L135" i="4"/>
  <c r="K135" i="4"/>
  <c r="G135" i="4"/>
  <c r="F135" i="4"/>
  <c r="G133" i="4"/>
  <c r="G136" i="4" s="1"/>
  <c r="F133" i="4"/>
  <c r="F136" i="4" s="1"/>
  <c r="G129" i="4"/>
  <c r="F129" i="4"/>
  <c r="O126" i="4"/>
  <c r="O129" i="4" s="1"/>
  <c r="I126" i="4"/>
  <c r="T123" i="4"/>
  <c r="T185" i="4" s="1"/>
  <c r="S123" i="4"/>
  <c r="S187" i="4" s="1"/>
  <c r="S190" i="4" s="1"/>
  <c r="I123" i="4"/>
  <c r="H122" i="4"/>
  <c r="H125" i="4" s="1"/>
  <c r="H129" i="4" s="1"/>
  <c r="I121" i="4"/>
  <c r="R120" i="4"/>
  <c r="S120" i="4" s="1"/>
  <c r="T120" i="4" s="1"/>
  <c r="Q120" i="4"/>
  <c r="I120" i="4"/>
  <c r="Q119" i="4"/>
  <c r="R119" i="4"/>
  <c r="S119" i="4" s="1"/>
  <c r="T119" i="4" s="1"/>
  <c r="I119" i="4"/>
  <c r="O118" i="4"/>
  <c r="I118" i="4"/>
  <c r="I117" i="4"/>
  <c r="F117" i="4"/>
  <c r="P117" i="4"/>
  <c r="P116" i="4"/>
  <c r="Q116" i="4" s="1"/>
  <c r="R116" i="4" s="1"/>
  <c r="I116" i="4"/>
  <c r="P115" i="4"/>
  <c r="Q115" i="4"/>
  <c r="I115" i="4"/>
  <c r="O114" i="4"/>
  <c r="I114" i="4"/>
  <c r="N113" i="4"/>
  <c r="M113" i="4"/>
  <c r="L113" i="4"/>
  <c r="K113" i="4"/>
  <c r="J113" i="4"/>
  <c r="G113" i="4"/>
  <c r="F113" i="4"/>
  <c r="O112" i="4"/>
  <c r="I112" i="4"/>
  <c r="G112" i="4"/>
  <c r="F112" i="4"/>
  <c r="Q111" i="4"/>
  <c r="R111" i="4"/>
  <c r="S111" i="4" s="1"/>
  <c r="T111" i="4" s="1"/>
  <c r="I111" i="4"/>
  <c r="P110" i="4"/>
  <c r="Q110" i="4" s="1"/>
  <c r="R110" i="4" s="1"/>
  <c r="K110" i="4"/>
  <c r="L110" i="4"/>
  <c r="L99" i="4" s="1"/>
  <c r="L85" i="4" s="1"/>
  <c r="L84" i="4" s="1"/>
  <c r="G110" i="4"/>
  <c r="F110" i="4"/>
  <c r="P109" i="4"/>
  <c r="O109" i="4"/>
  <c r="I109" i="4"/>
  <c r="O108" i="4"/>
  <c r="I108" i="4"/>
  <c r="P107" i="4"/>
  <c r="I107" i="4"/>
  <c r="O106" i="4"/>
  <c r="I106" i="4"/>
  <c r="Q105" i="4"/>
  <c r="R105" i="4" s="1"/>
  <c r="S105" i="4" s="1"/>
  <c r="I105" i="4"/>
  <c r="Q104" i="4"/>
  <c r="R104" i="4" s="1"/>
  <c r="S104" i="4" s="1"/>
  <c r="I104" i="4"/>
  <c r="Q103" i="4"/>
  <c r="I103" i="4"/>
  <c r="O102" i="4"/>
  <c r="I102" i="4"/>
  <c r="O101" i="4"/>
  <c r="I101" i="4"/>
  <c r="O100" i="4"/>
  <c r="I100" i="4"/>
  <c r="G100" i="4"/>
  <c r="F100" i="4"/>
  <c r="J99" i="4"/>
  <c r="O98" i="4"/>
  <c r="I98" i="4"/>
  <c r="O97" i="4"/>
  <c r="I97" i="4"/>
  <c r="P96" i="4"/>
  <c r="Q96" i="4"/>
  <c r="R96" i="4" s="1"/>
  <c r="S96" i="4" s="1"/>
  <c r="T96" i="4" s="1"/>
  <c r="I96" i="4"/>
  <c r="O95" i="4"/>
  <c r="I95" i="4"/>
  <c r="O94" i="4"/>
  <c r="O93" i="4" s="1"/>
  <c r="I94" i="4"/>
  <c r="N93" i="4"/>
  <c r="N90" i="4" s="1"/>
  <c r="M93" i="4"/>
  <c r="M90" i="4" s="1"/>
  <c r="L93" i="4"/>
  <c r="L90" i="4" s="1"/>
  <c r="K93" i="4"/>
  <c r="J93" i="4"/>
  <c r="P93" i="4" s="1"/>
  <c r="I93" i="4"/>
  <c r="G93" i="4"/>
  <c r="G90" i="4" s="1"/>
  <c r="G151" i="4" s="1"/>
  <c r="G150" i="4" s="1"/>
  <c r="F93" i="4"/>
  <c r="F90" i="4" s="1"/>
  <c r="F151" i="4" s="1"/>
  <c r="O92" i="4"/>
  <c r="I92" i="4"/>
  <c r="O91" i="4"/>
  <c r="I91" i="4"/>
  <c r="K90" i="4"/>
  <c r="I89" i="4"/>
  <c r="P87" i="4"/>
  <c r="P86" i="4" s="1"/>
  <c r="E87" i="4"/>
  <c r="J86" i="4"/>
  <c r="I86" i="4" s="1"/>
  <c r="J137" i="4"/>
  <c r="U83" i="4"/>
  <c r="O83" i="4"/>
  <c r="I83" i="4"/>
  <c r="G83" i="4"/>
  <c r="U82" i="4"/>
  <c r="Q82" i="4"/>
  <c r="I82" i="4"/>
  <c r="U81" i="4"/>
  <c r="O81" i="4"/>
  <c r="I81" i="4"/>
  <c r="U80" i="4"/>
  <c r="O80" i="4"/>
  <c r="I80" i="4"/>
  <c r="U79" i="4"/>
  <c r="O79" i="4"/>
  <c r="I79" i="4"/>
  <c r="U78" i="4"/>
  <c r="O78" i="4"/>
  <c r="I78" i="4"/>
  <c r="U77" i="4"/>
  <c r="O77" i="4"/>
  <c r="I77" i="4"/>
  <c r="U76" i="4"/>
  <c r="O76" i="4"/>
  <c r="I76" i="4"/>
  <c r="U75" i="4"/>
  <c r="I75" i="4"/>
  <c r="U74" i="4"/>
  <c r="I74" i="4"/>
  <c r="U73" i="4"/>
  <c r="Q73" i="4"/>
  <c r="R73" i="4" s="1"/>
  <c r="S73" i="4" s="1"/>
  <c r="T73" i="4" s="1"/>
  <c r="I73" i="4"/>
  <c r="U72" i="4"/>
  <c r="I72" i="4"/>
  <c r="U71" i="4"/>
  <c r="I71" i="4"/>
  <c r="G71" i="4"/>
  <c r="G61" i="4" s="1"/>
  <c r="F71" i="4"/>
  <c r="F61" i="4" s="1"/>
  <c r="F45" i="4" s="1"/>
  <c r="P70" i="4"/>
  <c r="Q70" i="4" s="1"/>
  <c r="R70" i="4" s="1"/>
  <c r="S70" i="4" s="1"/>
  <c r="T70" i="4" s="1"/>
  <c r="I70" i="4"/>
  <c r="U69" i="4"/>
  <c r="Q69" i="4"/>
  <c r="R69" i="4" s="1"/>
  <c r="S69" i="4" s="1"/>
  <c r="T69" i="4" s="1"/>
  <c r="I69" i="4"/>
  <c r="U68" i="4"/>
  <c r="Q68" i="4"/>
  <c r="R68" i="4" s="1"/>
  <c r="S68" i="4" s="1"/>
  <c r="T68" i="4" s="1"/>
  <c r="I68" i="4"/>
  <c r="I61" i="4" s="1"/>
  <c r="U67" i="4"/>
  <c r="Q67" i="4"/>
  <c r="R67" i="4" s="1"/>
  <c r="S67" i="4" s="1"/>
  <c r="T67" i="4" s="1"/>
  <c r="I67" i="4"/>
  <c r="U66" i="4"/>
  <c r="Q66" i="4"/>
  <c r="R66" i="4" s="1"/>
  <c r="S66" i="4" s="1"/>
  <c r="T66" i="4" s="1"/>
  <c r="I66" i="4"/>
  <c r="U65" i="4"/>
  <c r="Q65" i="4"/>
  <c r="R65" i="4" s="1"/>
  <c r="S65" i="4" s="1"/>
  <c r="T65" i="4" s="1"/>
  <c r="I65" i="4"/>
  <c r="U64" i="4"/>
  <c r="Q64" i="4"/>
  <c r="R64" i="4" s="1"/>
  <c r="S64" i="4" s="1"/>
  <c r="T64" i="4" s="1"/>
  <c r="I64" i="4"/>
  <c r="P63" i="4"/>
  <c r="U63" i="4" s="1"/>
  <c r="I63" i="4"/>
  <c r="P62" i="4"/>
  <c r="I62" i="4"/>
  <c r="N61" i="4"/>
  <c r="M61" i="4"/>
  <c r="L61" i="4"/>
  <c r="K61" i="4"/>
  <c r="J61" i="4"/>
  <c r="U60" i="4"/>
  <c r="Q60" i="4"/>
  <c r="R60" i="4" s="1"/>
  <c r="S60" i="4" s="1"/>
  <c r="I60" i="4"/>
  <c r="U59" i="4"/>
  <c r="Q59" i="4"/>
  <c r="R59" i="4" s="1"/>
  <c r="I59" i="4"/>
  <c r="U58" i="4"/>
  <c r="O58" i="4"/>
  <c r="I58" i="4"/>
  <c r="U57" i="4"/>
  <c r="Q57" i="4"/>
  <c r="R57" i="4" s="1"/>
  <c r="S57" i="4" s="1"/>
  <c r="T57" i="4" s="1"/>
  <c r="I57" i="4"/>
  <c r="U56" i="4"/>
  <c r="O56" i="4"/>
  <c r="I56" i="4"/>
  <c r="P55" i="4"/>
  <c r="Q55" i="4" s="1"/>
  <c r="I55" i="4"/>
  <c r="U54" i="4"/>
  <c r="Q54" i="4"/>
  <c r="R54" i="4" s="1"/>
  <c r="S54" i="4" s="1"/>
  <c r="I54" i="4"/>
  <c r="U53" i="4"/>
  <c r="Q53" i="4"/>
  <c r="R53" i="4"/>
  <c r="I53" i="4"/>
  <c r="U52" i="4"/>
  <c r="Q52" i="4"/>
  <c r="R52" i="4" s="1"/>
  <c r="S52" i="4" s="1"/>
  <c r="I52" i="4"/>
  <c r="Q51" i="4"/>
  <c r="R51" i="4" s="1"/>
  <c r="S51" i="4" s="1"/>
  <c r="N51" i="4"/>
  <c r="N49" i="4" s="1"/>
  <c r="N45" i="4" s="1"/>
  <c r="M51" i="4"/>
  <c r="M49" i="4" s="1"/>
  <c r="M45" i="4" s="1"/>
  <c r="L51" i="4"/>
  <c r="L49" i="4" s="1"/>
  <c r="L45" i="4" s="1"/>
  <c r="K51" i="4"/>
  <c r="J51" i="4"/>
  <c r="O50" i="4"/>
  <c r="I50" i="4"/>
  <c r="K49" i="4"/>
  <c r="K45" i="4" s="1"/>
  <c r="G49" i="4"/>
  <c r="G45" i="4" s="1"/>
  <c r="U48" i="4"/>
  <c r="Q48" i="4"/>
  <c r="I48" i="4"/>
  <c r="P47" i="4"/>
  <c r="U47" i="4" s="1"/>
  <c r="I47" i="4"/>
  <c r="P46" i="4"/>
  <c r="U46" i="4" s="1"/>
  <c r="I46" i="4"/>
  <c r="U44" i="4"/>
  <c r="O44" i="4"/>
  <c r="I44" i="4"/>
  <c r="U43" i="4"/>
  <c r="O43" i="4"/>
  <c r="I43" i="4"/>
  <c r="U42" i="4"/>
  <c r="O42" i="4"/>
  <c r="I42" i="4"/>
  <c r="U41" i="4"/>
  <c r="O41" i="4"/>
  <c r="I41" i="4"/>
  <c r="U40" i="4"/>
  <c r="O40" i="4"/>
  <c r="I40" i="4"/>
  <c r="T39" i="4"/>
  <c r="S39" i="4"/>
  <c r="O39" i="4" s="1"/>
  <c r="R39" i="4"/>
  <c r="Q39" i="4"/>
  <c r="P39" i="4"/>
  <c r="U39" i="4" s="1"/>
  <c r="I39" i="4"/>
  <c r="G39" i="4"/>
  <c r="U38" i="4"/>
  <c r="Q38" i="4"/>
  <c r="R38" i="4" s="1"/>
  <c r="S38" i="4" s="1"/>
  <c r="O38" i="4" s="1"/>
  <c r="I38" i="4"/>
  <c r="G38" i="4"/>
  <c r="F38" i="4"/>
  <c r="U37" i="4"/>
  <c r="O37" i="4"/>
  <c r="I37" i="4"/>
  <c r="G37" i="4"/>
  <c r="F37" i="4"/>
  <c r="U36" i="4"/>
  <c r="O36" i="4"/>
  <c r="I36" i="4"/>
  <c r="G36" i="4"/>
  <c r="G27" i="4" s="1"/>
  <c r="U35" i="4"/>
  <c r="Q35" i="4"/>
  <c r="R35" i="4" s="1"/>
  <c r="S35" i="4" s="1"/>
  <c r="I35" i="4"/>
  <c r="U34" i="4"/>
  <c r="Q34" i="4"/>
  <c r="R34" i="4" s="1"/>
  <c r="S34" i="4" s="1"/>
  <c r="T34" i="4" s="1"/>
  <c r="I34" i="4"/>
  <c r="U33" i="4"/>
  <c r="Q33" i="4"/>
  <c r="R33" i="4" s="1"/>
  <c r="S33" i="4" s="1"/>
  <c r="I33" i="4"/>
  <c r="U32" i="4"/>
  <c r="Q32" i="4"/>
  <c r="R32" i="4" s="1"/>
  <c r="S32" i="4" s="1"/>
  <c r="T32" i="4" s="1"/>
  <c r="I32" i="4"/>
  <c r="U31" i="4"/>
  <c r="Q31" i="4"/>
  <c r="R31" i="4" s="1"/>
  <c r="S31" i="4" s="1"/>
  <c r="K31" i="4"/>
  <c r="L31" i="4" s="1"/>
  <c r="O30" i="4"/>
  <c r="I30" i="4"/>
  <c r="U30" i="4" s="1"/>
  <c r="P29" i="4"/>
  <c r="U29" i="4" s="1"/>
  <c r="I29" i="4"/>
  <c r="U28" i="4"/>
  <c r="Q28" i="4"/>
  <c r="R28" i="4" s="1"/>
  <c r="S28" i="4" s="1"/>
  <c r="I28" i="4"/>
  <c r="K27" i="4"/>
  <c r="J27" i="4"/>
  <c r="F27" i="4"/>
  <c r="O26" i="4"/>
  <c r="I26" i="4"/>
  <c r="G26" i="4"/>
  <c r="G25" i="4" s="1"/>
  <c r="G140" i="4" s="1"/>
  <c r="G141" i="4" s="1"/>
  <c r="O25" i="4"/>
  <c r="O140" i="4" s="1"/>
  <c r="O141" i="4" s="1"/>
  <c r="N25" i="4"/>
  <c r="N140" i="4" s="1"/>
  <c r="N141" i="4" s="1"/>
  <c r="M25" i="4"/>
  <c r="M140" i="4" s="1"/>
  <c r="M141" i="4" s="1"/>
  <c r="L25" i="4"/>
  <c r="L140" i="4"/>
  <c r="L141" i="4" s="1"/>
  <c r="K25" i="4"/>
  <c r="K140" i="4" s="1"/>
  <c r="K141" i="4" s="1"/>
  <c r="J25" i="4"/>
  <c r="J140" i="4" s="1"/>
  <c r="J141" i="4" s="1"/>
  <c r="I25" i="4"/>
  <c r="I140" i="4" s="1"/>
  <c r="I141" i="4" s="1"/>
  <c r="F25" i="4"/>
  <c r="F140" i="4" s="1"/>
  <c r="F141" i="4" s="1"/>
  <c r="I24" i="4"/>
  <c r="I23" i="4"/>
  <c r="I22" i="4"/>
  <c r="G22" i="4"/>
  <c r="F22" i="4"/>
  <c r="O21" i="4"/>
  <c r="I21" i="4"/>
  <c r="I20" i="4"/>
  <c r="Q18" i="4"/>
  <c r="R18" i="4" s="1"/>
  <c r="S18" i="4" s="1"/>
  <c r="E18" i="4"/>
  <c r="P17" i="4"/>
  <c r="U17" i="4" s="1"/>
  <c r="I17" i="4"/>
  <c r="N16" i="4"/>
  <c r="M16" i="4"/>
  <c r="L16" i="4"/>
  <c r="K16" i="4"/>
  <c r="J16" i="4"/>
  <c r="G16" i="4"/>
  <c r="F16" i="4"/>
  <c r="U15" i="4"/>
  <c r="T15" i="4"/>
  <c r="S15" i="4"/>
  <c r="S9" i="4" s="1"/>
  <c r="R15" i="4"/>
  <c r="Q15" i="4"/>
  <c r="I15" i="4"/>
  <c r="G15" i="4"/>
  <c r="G152" i="4"/>
  <c r="F15" i="4"/>
  <c r="F152" i="4" s="1"/>
  <c r="U14" i="4"/>
  <c r="O14" i="4"/>
  <c r="I14" i="4"/>
  <c r="F14" i="4"/>
  <c r="U13" i="4"/>
  <c r="U12" i="4"/>
  <c r="Q12" i="4"/>
  <c r="R12" i="4" s="1"/>
  <c r="S12" i="4" s="1"/>
  <c r="I12" i="4"/>
  <c r="U11" i="4"/>
  <c r="U10" i="4"/>
  <c r="Q10" i="4"/>
  <c r="R10" i="4" s="1"/>
  <c r="S10" i="4" s="1"/>
  <c r="I10" i="4"/>
  <c r="I9" i="4" s="1"/>
  <c r="F10" i="4"/>
  <c r="P9" i="4"/>
  <c r="N9" i="4"/>
  <c r="M9" i="4"/>
  <c r="L9" i="4"/>
  <c r="K9" i="4"/>
  <c r="K8" i="4" s="1"/>
  <c r="J9" i="4"/>
  <c r="F9" i="4"/>
  <c r="F8" i="4" s="1"/>
  <c r="AB185" i="3"/>
  <c r="AA185" i="3"/>
  <c r="Z185" i="3"/>
  <c r="Y185" i="3"/>
  <c r="X185" i="3"/>
  <c r="T185" i="3"/>
  <c r="S185" i="3"/>
  <c r="R185" i="3"/>
  <c r="Q185" i="3"/>
  <c r="P185" i="3"/>
  <c r="G156" i="3"/>
  <c r="F156" i="3"/>
  <c r="G154" i="3"/>
  <c r="F154" i="3"/>
  <c r="D150" i="3"/>
  <c r="D157" i="3" s="1"/>
  <c r="D158" i="3" s="1"/>
  <c r="W144" i="3"/>
  <c r="O144" i="3"/>
  <c r="I144" i="3"/>
  <c r="AB140" i="3"/>
  <c r="AB141" i="3" s="1"/>
  <c r="AA140" i="3"/>
  <c r="AA141" i="3" s="1"/>
  <c r="Z140" i="3"/>
  <c r="Z141" i="3" s="1"/>
  <c r="Y140" i="3"/>
  <c r="Y141" i="3" s="1"/>
  <c r="X140" i="3"/>
  <c r="X141" i="3" s="1"/>
  <c r="T140" i="3"/>
  <c r="T141" i="3" s="1"/>
  <c r="S140" i="3"/>
  <c r="S141" i="3" s="1"/>
  <c r="R140" i="3"/>
  <c r="R141" i="3" s="1"/>
  <c r="Q140" i="3"/>
  <c r="Q141" i="3" s="1"/>
  <c r="P140" i="3"/>
  <c r="P141" i="3" s="1"/>
  <c r="N137" i="3"/>
  <c r="M137" i="3"/>
  <c r="L137" i="3"/>
  <c r="K137" i="3"/>
  <c r="G137" i="3"/>
  <c r="F137" i="3"/>
  <c r="N136" i="3"/>
  <c r="M136" i="3"/>
  <c r="L136" i="3"/>
  <c r="K136" i="3"/>
  <c r="J136" i="3"/>
  <c r="N135" i="3"/>
  <c r="M135" i="3"/>
  <c r="L135" i="3"/>
  <c r="K135" i="3"/>
  <c r="G135" i="3"/>
  <c r="F135" i="3"/>
  <c r="G133" i="3"/>
  <c r="G136" i="3" s="1"/>
  <c r="F133" i="3"/>
  <c r="F136" i="3" s="1"/>
  <c r="G129" i="3"/>
  <c r="F129" i="3"/>
  <c r="W126" i="3"/>
  <c r="W129" i="3" s="1"/>
  <c r="O126" i="3"/>
  <c r="I126" i="3"/>
  <c r="I123" i="3"/>
  <c r="H122" i="3"/>
  <c r="H125" i="3" s="1"/>
  <c r="H129" i="3" s="1"/>
  <c r="I121" i="3"/>
  <c r="Y120" i="3"/>
  <c r="Z120" i="3" s="1"/>
  <c r="AA120" i="3" s="1"/>
  <c r="AB120" i="3" s="1"/>
  <c r="Q120" i="3"/>
  <c r="R120" i="3" s="1"/>
  <c r="I120" i="3"/>
  <c r="Z119" i="3"/>
  <c r="Y119" i="3"/>
  <c r="Q119" i="3"/>
  <c r="R119" i="3" s="1"/>
  <c r="S119" i="3" s="1"/>
  <c r="T119" i="3" s="1"/>
  <c r="I119" i="3"/>
  <c r="W118" i="3"/>
  <c r="O118" i="3"/>
  <c r="I118" i="3"/>
  <c r="X117" i="3"/>
  <c r="Y117" i="3" s="1"/>
  <c r="Z117" i="3" s="1"/>
  <c r="AA117" i="3" s="1"/>
  <c r="AB117" i="3" s="1"/>
  <c r="I117" i="3"/>
  <c r="F117" i="3"/>
  <c r="P117" i="3" s="1"/>
  <c r="Q117" i="3" s="1"/>
  <c r="R117" i="3" s="1"/>
  <c r="S117" i="3" s="1"/>
  <c r="T117" i="3" s="1"/>
  <c r="X116" i="3"/>
  <c r="Y116" i="3" s="1"/>
  <c r="P116" i="3"/>
  <c r="Q116" i="3" s="1"/>
  <c r="I116" i="3"/>
  <c r="X115" i="3"/>
  <c r="Y115" i="3" s="1"/>
  <c r="Z115" i="3" s="1"/>
  <c r="P115" i="3"/>
  <c r="Q115" i="3" s="1"/>
  <c r="R115" i="3" s="1"/>
  <c r="I115" i="3"/>
  <c r="W114" i="3"/>
  <c r="O114" i="3"/>
  <c r="I114" i="3"/>
  <c r="N113" i="3"/>
  <c r="M113" i="3"/>
  <c r="L113" i="3"/>
  <c r="K113" i="3"/>
  <c r="J113" i="3"/>
  <c r="I113" i="3" s="1"/>
  <c r="G113" i="3"/>
  <c r="F113" i="3"/>
  <c r="W112" i="3"/>
  <c r="O112" i="3"/>
  <c r="I112" i="3"/>
  <c r="G112" i="3"/>
  <c r="F112" i="3"/>
  <c r="Y111" i="3"/>
  <c r="Z111" i="3" s="1"/>
  <c r="AA111" i="3" s="1"/>
  <c r="Q111" i="3"/>
  <c r="I111" i="3"/>
  <c r="X110" i="3"/>
  <c r="Y110" i="3" s="1"/>
  <c r="Z110" i="3" s="1"/>
  <c r="P110" i="3"/>
  <c r="Q110" i="3" s="1"/>
  <c r="R110" i="3" s="1"/>
  <c r="K110" i="3"/>
  <c r="L110" i="3" s="1"/>
  <c r="G110" i="3"/>
  <c r="F110" i="3"/>
  <c r="X109" i="3"/>
  <c r="W109" i="3" s="1"/>
  <c r="P109" i="3"/>
  <c r="I109" i="3"/>
  <c r="W108" i="3"/>
  <c r="O108" i="3"/>
  <c r="I108" i="3"/>
  <c r="X107" i="3"/>
  <c r="Y107" i="3" s="1"/>
  <c r="Z107" i="3" s="1"/>
  <c r="AA107" i="3" s="1"/>
  <c r="AB107" i="3" s="1"/>
  <c r="P107" i="3"/>
  <c r="Q107" i="3"/>
  <c r="R107" i="3" s="1"/>
  <c r="S107" i="3" s="1"/>
  <c r="T107" i="3" s="1"/>
  <c r="I107" i="3"/>
  <c r="W106" i="3"/>
  <c r="O106" i="3"/>
  <c r="I106" i="3"/>
  <c r="Y105" i="3"/>
  <c r="Z105" i="3" s="1"/>
  <c r="AA105" i="3" s="1"/>
  <c r="Q105" i="3"/>
  <c r="R105" i="3" s="1"/>
  <c r="S105" i="3" s="1"/>
  <c r="T105" i="3" s="1"/>
  <c r="I105" i="3"/>
  <c r="Y104" i="3"/>
  <c r="Z104" i="3" s="1"/>
  <c r="Q104" i="3"/>
  <c r="I104" i="3"/>
  <c r="Y103" i="3"/>
  <c r="Z103" i="3" s="1"/>
  <c r="AA103" i="3" s="1"/>
  <c r="Q103" i="3"/>
  <c r="R103" i="3" s="1"/>
  <c r="I103" i="3"/>
  <c r="W102" i="3"/>
  <c r="O102" i="3"/>
  <c r="I102" i="3"/>
  <c r="W101" i="3"/>
  <c r="O101" i="3"/>
  <c r="I101" i="3"/>
  <c r="W100" i="3"/>
  <c r="O100" i="3"/>
  <c r="I100" i="3"/>
  <c r="G100" i="3"/>
  <c r="F100" i="3"/>
  <c r="F99" i="3" s="1"/>
  <c r="F85" i="3" s="1"/>
  <c r="F84" i="3" s="1"/>
  <c r="X99" i="3"/>
  <c r="K99" i="3"/>
  <c r="J99" i="3"/>
  <c r="G99" i="3"/>
  <c r="W98" i="3"/>
  <c r="O98" i="3"/>
  <c r="I98" i="3"/>
  <c r="W97" i="3"/>
  <c r="O97" i="3"/>
  <c r="I97" i="3"/>
  <c r="P96" i="3"/>
  <c r="Q96" i="3" s="1"/>
  <c r="R96" i="3" s="1"/>
  <c r="I96" i="3"/>
  <c r="W95" i="3"/>
  <c r="O95" i="3"/>
  <c r="I95" i="3"/>
  <c r="W94" i="3"/>
  <c r="O94" i="3"/>
  <c r="I94" i="3"/>
  <c r="N93" i="3"/>
  <c r="M93" i="3"/>
  <c r="L93" i="3"/>
  <c r="K93" i="3"/>
  <c r="K90" i="3" s="1"/>
  <c r="K85" i="3" s="1"/>
  <c r="K84" i="3" s="1"/>
  <c r="J93" i="3"/>
  <c r="P93" i="3" s="1"/>
  <c r="G93" i="3"/>
  <c r="F93" i="3"/>
  <c r="W92" i="3"/>
  <c r="O92" i="3"/>
  <c r="I92" i="3"/>
  <c r="W91" i="3"/>
  <c r="O91" i="3"/>
  <c r="I91" i="3"/>
  <c r="N90" i="3"/>
  <c r="M90" i="3"/>
  <c r="L90" i="3"/>
  <c r="J90" i="3"/>
  <c r="G90" i="3"/>
  <c r="G151" i="3" s="1"/>
  <c r="F90" i="3"/>
  <c r="F151" i="3" s="1"/>
  <c r="I89" i="3"/>
  <c r="X87" i="3"/>
  <c r="Y87" i="3" s="1"/>
  <c r="Z87" i="3" s="1"/>
  <c r="P87" i="3"/>
  <c r="Q87" i="3" s="1"/>
  <c r="E87" i="3"/>
  <c r="J86" i="3"/>
  <c r="J137" i="3" s="1"/>
  <c r="G85" i="3"/>
  <c r="W83" i="3"/>
  <c r="U83" i="3"/>
  <c r="O83" i="3"/>
  <c r="I83" i="3"/>
  <c r="G83" i="3"/>
  <c r="Y82" i="3"/>
  <c r="Z82" i="3" s="1"/>
  <c r="AA82" i="3" s="1"/>
  <c r="AB82" i="3" s="1"/>
  <c r="U82" i="3"/>
  <c r="Q82" i="3"/>
  <c r="R82" i="3" s="1"/>
  <c r="S82" i="3" s="1"/>
  <c r="T82" i="3" s="1"/>
  <c r="I82" i="3"/>
  <c r="W81" i="3"/>
  <c r="U81" i="3"/>
  <c r="O81" i="3"/>
  <c r="I81" i="3"/>
  <c r="W80" i="3"/>
  <c r="U80" i="3"/>
  <c r="O80" i="3"/>
  <c r="I80" i="3"/>
  <c r="W79" i="3"/>
  <c r="U79" i="3"/>
  <c r="O79" i="3"/>
  <c r="I79" i="3"/>
  <c r="W78" i="3"/>
  <c r="U78" i="3"/>
  <c r="O78" i="3"/>
  <c r="I78" i="3"/>
  <c r="W77" i="3"/>
  <c r="U77" i="3"/>
  <c r="O77" i="3"/>
  <c r="I77" i="3"/>
  <c r="W76" i="3"/>
  <c r="U76" i="3"/>
  <c r="O76" i="3"/>
  <c r="I76" i="3"/>
  <c r="U75" i="3"/>
  <c r="I75" i="3"/>
  <c r="U74" i="3"/>
  <c r="I74" i="3"/>
  <c r="Y73" i="3"/>
  <c r="Z73" i="3"/>
  <c r="AA73" i="3" s="1"/>
  <c r="AB73" i="3" s="1"/>
  <c r="U73" i="3"/>
  <c r="Q73" i="3"/>
  <c r="R73" i="3" s="1"/>
  <c r="S73" i="3" s="1"/>
  <c r="T73" i="3" s="1"/>
  <c r="I73" i="3"/>
  <c r="U72" i="3"/>
  <c r="I72" i="3"/>
  <c r="U71" i="3"/>
  <c r="I71" i="3"/>
  <c r="G71" i="3"/>
  <c r="G61" i="3" s="1"/>
  <c r="G45" i="3" s="1"/>
  <c r="F71" i="3"/>
  <c r="X70" i="3"/>
  <c r="Y70" i="3" s="1"/>
  <c r="Z70" i="3" s="1"/>
  <c r="AA70" i="3" s="1"/>
  <c r="AB70" i="3" s="1"/>
  <c r="P70" i="3"/>
  <c r="Q70" i="3" s="1"/>
  <c r="R70" i="3" s="1"/>
  <c r="S70" i="3" s="1"/>
  <c r="T70" i="3" s="1"/>
  <c r="I70" i="3"/>
  <c r="Y69" i="3"/>
  <c r="Z69" i="3" s="1"/>
  <c r="AA69" i="3" s="1"/>
  <c r="AB69" i="3" s="1"/>
  <c r="U69" i="3"/>
  <c r="Q69" i="3"/>
  <c r="R69" i="3" s="1"/>
  <c r="S69" i="3" s="1"/>
  <c r="T69" i="3" s="1"/>
  <c r="I69" i="3"/>
  <c r="Y68" i="3"/>
  <c r="Z68" i="3" s="1"/>
  <c r="AA68" i="3" s="1"/>
  <c r="AB68" i="3" s="1"/>
  <c r="U68" i="3"/>
  <c r="Q68" i="3"/>
  <c r="R68" i="3" s="1"/>
  <c r="S68" i="3" s="1"/>
  <c r="T68" i="3" s="1"/>
  <c r="I68" i="3"/>
  <c r="Y67" i="3"/>
  <c r="Z67" i="3" s="1"/>
  <c r="AA67" i="3" s="1"/>
  <c r="AB67" i="3" s="1"/>
  <c r="U67" i="3"/>
  <c r="Q67" i="3"/>
  <c r="R67" i="3" s="1"/>
  <c r="S67" i="3" s="1"/>
  <c r="T67" i="3" s="1"/>
  <c r="I67" i="3"/>
  <c r="Y66" i="3"/>
  <c r="Z66" i="3" s="1"/>
  <c r="AA66" i="3" s="1"/>
  <c r="AB66" i="3" s="1"/>
  <c r="U66" i="3"/>
  <c r="Q66" i="3"/>
  <c r="R66" i="3" s="1"/>
  <c r="S66" i="3" s="1"/>
  <c r="T66" i="3" s="1"/>
  <c r="I66" i="3"/>
  <c r="Y65" i="3"/>
  <c r="Z65" i="3" s="1"/>
  <c r="AA65" i="3" s="1"/>
  <c r="AB65" i="3" s="1"/>
  <c r="U65" i="3"/>
  <c r="Q65" i="3"/>
  <c r="R65" i="3" s="1"/>
  <c r="S65" i="3" s="1"/>
  <c r="T65" i="3" s="1"/>
  <c r="I65" i="3"/>
  <c r="Y64" i="3"/>
  <c r="Z64" i="3" s="1"/>
  <c r="AA64" i="3" s="1"/>
  <c r="AB64" i="3" s="1"/>
  <c r="U64" i="3"/>
  <c r="Q64" i="3"/>
  <c r="R64" i="3" s="1"/>
  <c r="S64" i="3" s="1"/>
  <c r="T64" i="3" s="1"/>
  <c r="I64" i="3"/>
  <c r="X63" i="3"/>
  <c r="X61" i="3" s="1"/>
  <c r="P63" i="3"/>
  <c r="U63" i="3" s="1"/>
  <c r="I63" i="3"/>
  <c r="X62" i="3"/>
  <c r="Y62" i="3" s="1"/>
  <c r="P62" i="3"/>
  <c r="Q62" i="3" s="1"/>
  <c r="I62" i="3"/>
  <c r="N61" i="3"/>
  <c r="M61" i="3"/>
  <c r="L61" i="3"/>
  <c r="K61" i="3"/>
  <c r="J61" i="3"/>
  <c r="F61" i="3"/>
  <c r="Y60" i="3"/>
  <c r="Z60" i="3" s="1"/>
  <c r="AA60" i="3" s="1"/>
  <c r="U60" i="3"/>
  <c r="Q60" i="3"/>
  <c r="R60" i="3" s="1"/>
  <c r="S60" i="3" s="1"/>
  <c r="I60" i="3"/>
  <c r="Y59" i="3"/>
  <c r="Z59" i="3" s="1"/>
  <c r="AA59" i="3" s="1"/>
  <c r="U59" i="3"/>
  <c r="Q59" i="3"/>
  <c r="R59" i="3" s="1"/>
  <c r="S59" i="3" s="1"/>
  <c r="I59" i="3"/>
  <c r="W58" i="3"/>
  <c r="U58" i="3"/>
  <c r="O58" i="3"/>
  <c r="I58" i="3"/>
  <c r="Y57" i="3"/>
  <c r="Z57" i="3" s="1"/>
  <c r="AA57" i="3" s="1"/>
  <c r="U57" i="3"/>
  <c r="Q57" i="3"/>
  <c r="R57" i="3" s="1"/>
  <c r="S57" i="3" s="1"/>
  <c r="I57" i="3"/>
  <c r="W56" i="3"/>
  <c r="U56" i="3"/>
  <c r="O56" i="3"/>
  <c r="I56" i="3"/>
  <c r="X55" i="3"/>
  <c r="Y55" i="3" s="1"/>
  <c r="Z55" i="3" s="1"/>
  <c r="AA55" i="3" s="1"/>
  <c r="AB55" i="3" s="1"/>
  <c r="P55" i="3"/>
  <c r="I55" i="3"/>
  <c r="Y54" i="3"/>
  <c r="Z54" i="3" s="1"/>
  <c r="AA54" i="3" s="1"/>
  <c r="AB54" i="3" s="1"/>
  <c r="U54" i="3"/>
  <c r="Q54" i="3"/>
  <c r="R54" i="3" s="1"/>
  <c r="S54" i="3" s="1"/>
  <c r="T54" i="3" s="1"/>
  <c r="I54" i="3"/>
  <c r="Y53" i="3"/>
  <c r="Z53" i="3"/>
  <c r="AA53" i="3" s="1"/>
  <c r="AB53" i="3" s="1"/>
  <c r="U53" i="3"/>
  <c r="Q53" i="3"/>
  <c r="R53" i="3" s="1"/>
  <c r="S53" i="3" s="1"/>
  <c r="T53" i="3" s="1"/>
  <c r="I53" i="3"/>
  <c r="Y52" i="3"/>
  <c r="Z52" i="3" s="1"/>
  <c r="AA52" i="3" s="1"/>
  <c r="AB52" i="3" s="1"/>
  <c r="U52" i="3"/>
  <c r="Q52" i="3"/>
  <c r="R52" i="3" s="1"/>
  <c r="I52" i="3"/>
  <c r="Y51" i="3"/>
  <c r="Z51" i="3"/>
  <c r="Q51" i="3"/>
  <c r="R51" i="3" s="1"/>
  <c r="S51" i="3" s="1"/>
  <c r="N51" i="3"/>
  <c r="N49" i="3" s="1"/>
  <c r="N45" i="3" s="1"/>
  <c r="M51" i="3"/>
  <c r="M49" i="3"/>
  <c r="M45" i="3" s="1"/>
  <c r="L51" i="3"/>
  <c r="K51" i="3"/>
  <c r="K49" i="3" s="1"/>
  <c r="K45" i="3" s="1"/>
  <c r="J51" i="3"/>
  <c r="W50" i="3"/>
  <c r="O50" i="3"/>
  <c r="I50" i="3"/>
  <c r="X49" i="3"/>
  <c r="L49" i="3"/>
  <c r="L45" i="3" s="1"/>
  <c r="G49" i="3"/>
  <c r="Y48" i="3"/>
  <c r="Z48" i="3" s="1"/>
  <c r="AA48" i="3" s="1"/>
  <c r="AB48" i="3" s="1"/>
  <c r="W48" i="3" s="1"/>
  <c r="U48" i="3"/>
  <c r="Q48" i="3"/>
  <c r="R48" i="3" s="1"/>
  <c r="S48" i="3" s="1"/>
  <c r="T48" i="3" s="1"/>
  <c r="O48" i="3" s="1"/>
  <c r="I48" i="3"/>
  <c r="X47" i="3"/>
  <c r="Y47" i="3" s="1"/>
  <c r="Z47" i="3" s="1"/>
  <c r="P47" i="3"/>
  <c r="U47" i="3" s="1"/>
  <c r="I47" i="3"/>
  <c r="X46" i="3"/>
  <c r="P46" i="3"/>
  <c r="U46" i="3" s="1"/>
  <c r="I46" i="3"/>
  <c r="F45" i="3"/>
  <c r="W44" i="3"/>
  <c r="U44" i="3"/>
  <c r="O44" i="3"/>
  <c r="I44" i="3"/>
  <c r="W43" i="3"/>
  <c r="U43" i="3"/>
  <c r="O43" i="3"/>
  <c r="I43" i="3"/>
  <c r="W42" i="3"/>
  <c r="U42" i="3"/>
  <c r="O42" i="3"/>
  <c r="I42" i="3"/>
  <c r="W41" i="3"/>
  <c r="U41" i="3"/>
  <c r="O41" i="3"/>
  <c r="I41" i="3"/>
  <c r="W40" i="3"/>
  <c r="U40" i="3"/>
  <c r="O40" i="3"/>
  <c r="I40" i="3"/>
  <c r="AB39" i="3"/>
  <c r="AA39" i="3"/>
  <c r="Z39" i="3"/>
  <c r="Y39" i="3"/>
  <c r="X39" i="3"/>
  <c r="W39" i="3" s="1"/>
  <c r="T39" i="3"/>
  <c r="S39" i="3"/>
  <c r="R39" i="3"/>
  <c r="Q39" i="3"/>
  <c r="P39" i="3"/>
  <c r="U39" i="3" s="1"/>
  <c r="I39" i="3"/>
  <c r="G39" i="3"/>
  <c r="Y38" i="3"/>
  <c r="Z38" i="3" s="1"/>
  <c r="AA38" i="3" s="1"/>
  <c r="U38" i="3"/>
  <c r="Q38" i="3"/>
  <c r="R38" i="3" s="1"/>
  <c r="I38" i="3"/>
  <c r="G38" i="3"/>
  <c r="F38" i="3"/>
  <c r="W37" i="3"/>
  <c r="U37" i="3"/>
  <c r="O37" i="3"/>
  <c r="I37" i="3"/>
  <c r="G37" i="3"/>
  <c r="F37" i="3"/>
  <c r="W36" i="3"/>
  <c r="U36" i="3"/>
  <c r="O36" i="3"/>
  <c r="I36" i="3"/>
  <c r="G36" i="3"/>
  <c r="G27" i="3" s="1"/>
  <c r="Y35" i="3"/>
  <c r="Z35" i="3" s="1"/>
  <c r="U35" i="3"/>
  <c r="Q35" i="3"/>
  <c r="R35" i="3" s="1"/>
  <c r="I35" i="3"/>
  <c r="Y34" i="3"/>
  <c r="Z34" i="3" s="1"/>
  <c r="U34" i="3"/>
  <c r="Q34" i="3"/>
  <c r="R34" i="3" s="1"/>
  <c r="I34" i="3"/>
  <c r="Y33" i="3"/>
  <c r="Z33" i="3" s="1"/>
  <c r="U33" i="3"/>
  <c r="Q33" i="3"/>
  <c r="R33" i="3" s="1"/>
  <c r="I33" i="3"/>
  <c r="Y32" i="3"/>
  <c r="Z32" i="3" s="1"/>
  <c r="U32" i="3"/>
  <c r="Q32" i="3"/>
  <c r="R32" i="3" s="1"/>
  <c r="I32" i="3"/>
  <c r="Y31" i="3"/>
  <c r="Z31" i="3" s="1"/>
  <c r="U31" i="3"/>
  <c r="Q31" i="3"/>
  <c r="R31" i="3" s="1"/>
  <c r="K31" i="3"/>
  <c r="L31" i="3" s="1"/>
  <c r="W30" i="3"/>
  <c r="O30" i="3"/>
  <c r="I30" i="3"/>
  <c r="X29" i="3"/>
  <c r="Y29" i="3" s="1"/>
  <c r="P29" i="3"/>
  <c r="Q29" i="3" s="1"/>
  <c r="I29" i="3"/>
  <c r="Y28" i="3"/>
  <c r="Z28" i="3" s="1"/>
  <c r="U28" i="3"/>
  <c r="Q28" i="3"/>
  <c r="R28" i="3" s="1"/>
  <c r="I28" i="3"/>
  <c r="P27" i="3"/>
  <c r="J27" i="3"/>
  <c r="F27" i="3"/>
  <c r="W26" i="3"/>
  <c r="O26" i="3"/>
  <c r="I26" i="3"/>
  <c r="G26" i="3"/>
  <c r="G25" i="3" s="1"/>
  <c r="G140" i="3" s="1"/>
  <c r="G141" i="3" s="1"/>
  <c r="W25" i="3"/>
  <c r="W140" i="3" s="1"/>
  <c r="W141" i="3" s="1"/>
  <c r="O25" i="3"/>
  <c r="O140" i="3" s="1"/>
  <c r="O141" i="3" s="1"/>
  <c r="N25" i="3"/>
  <c r="N140" i="3" s="1"/>
  <c r="N141" i="3" s="1"/>
  <c r="M25" i="3"/>
  <c r="M140" i="3" s="1"/>
  <c r="M141" i="3" s="1"/>
  <c r="L25" i="3"/>
  <c r="L140" i="3" s="1"/>
  <c r="L141" i="3" s="1"/>
  <c r="K25" i="3"/>
  <c r="K140" i="3" s="1"/>
  <c r="K141" i="3" s="1"/>
  <c r="J25" i="3"/>
  <c r="J140" i="3" s="1"/>
  <c r="J141" i="3" s="1"/>
  <c r="I25" i="3"/>
  <c r="I140" i="3" s="1"/>
  <c r="I141" i="3" s="1"/>
  <c r="F25" i="3"/>
  <c r="F140" i="3" s="1"/>
  <c r="F141" i="3" s="1"/>
  <c r="I24" i="3"/>
  <c r="I23" i="3"/>
  <c r="I22" i="3"/>
  <c r="G22" i="3"/>
  <c r="G149" i="3" s="1"/>
  <c r="F22" i="3"/>
  <c r="W21" i="3"/>
  <c r="O21" i="3"/>
  <c r="I21" i="3"/>
  <c r="I20" i="3"/>
  <c r="Y18" i="3"/>
  <c r="Z18" i="3" s="1"/>
  <c r="Q18" i="3"/>
  <c r="R18" i="3" s="1"/>
  <c r="E18" i="3"/>
  <c r="X17" i="3"/>
  <c r="Q17" i="3"/>
  <c r="P17" i="3"/>
  <c r="P20" i="3" s="1"/>
  <c r="P136" i="3"/>
  <c r="I17" i="3"/>
  <c r="N16" i="3"/>
  <c r="M16" i="3"/>
  <c r="L16" i="3"/>
  <c r="K16" i="3"/>
  <c r="J16" i="3"/>
  <c r="G16" i="3"/>
  <c r="F16" i="3"/>
  <c r="AB15" i="3"/>
  <c r="AA15" i="3"/>
  <c r="Z15" i="3"/>
  <c r="Y15" i="3"/>
  <c r="W15" i="3" s="1"/>
  <c r="U15" i="3"/>
  <c r="T15" i="3"/>
  <c r="S15" i="3"/>
  <c r="R15" i="3"/>
  <c r="Q15" i="3"/>
  <c r="I15" i="3"/>
  <c r="G15" i="3"/>
  <c r="G152" i="3" s="1"/>
  <c r="F15" i="3"/>
  <c r="F152" i="3" s="1"/>
  <c r="W14" i="3"/>
  <c r="U14" i="3"/>
  <c r="O14" i="3"/>
  <c r="I14" i="3"/>
  <c r="F14" i="3"/>
  <c r="U13" i="3"/>
  <c r="X12" i="3"/>
  <c r="Y12" i="3" s="1"/>
  <c r="U12" i="3"/>
  <c r="Q12" i="3"/>
  <c r="R12" i="3" s="1"/>
  <c r="I12" i="3"/>
  <c r="U11" i="3"/>
  <c r="X10" i="3"/>
  <c r="Y10" i="3" s="1"/>
  <c r="U10" i="3"/>
  <c r="Q10" i="3"/>
  <c r="R10" i="3" s="1"/>
  <c r="I10" i="3"/>
  <c r="F10" i="3"/>
  <c r="Q9" i="3"/>
  <c r="P9" i="3"/>
  <c r="N9" i="3"/>
  <c r="M9" i="3"/>
  <c r="L9" i="3"/>
  <c r="K9" i="3"/>
  <c r="J9" i="3"/>
  <c r="G9" i="3"/>
  <c r="F155" i="2"/>
  <c r="E155" i="2"/>
  <c r="F153" i="2"/>
  <c r="E153" i="2"/>
  <c r="D149" i="2"/>
  <c r="D156" i="2" s="1"/>
  <c r="D157" i="2" s="1"/>
  <c r="G143" i="2"/>
  <c r="T136" i="2"/>
  <c r="Q136" i="2"/>
  <c r="N136" i="2"/>
  <c r="K136" i="2"/>
  <c r="H136" i="2"/>
  <c r="F136" i="2"/>
  <c r="E136" i="2"/>
  <c r="T135" i="2"/>
  <c r="Q135" i="2"/>
  <c r="N135" i="2"/>
  <c r="K135" i="2"/>
  <c r="H135" i="2"/>
  <c r="T134" i="2"/>
  <c r="Q134" i="2"/>
  <c r="N134" i="2"/>
  <c r="K134" i="2"/>
  <c r="H134" i="2"/>
  <c r="F134" i="2"/>
  <c r="E134" i="2"/>
  <c r="F132" i="2"/>
  <c r="F135" i="2" s="1"/>
  <c r="E132" i="2"/>
  <c r="E135" i="2" s="1"/>
  <c r="F128" i="2"/>
  <c r="E128" i="2"/>
  <c r="G125" i="2"/>
  <c r="U122" i="2"/>
  <c r="I122" i="2"/>
  <c r="G122" i="2"/>
  <c r="U120" i="2"/>
  <c r="R120" i="2"/>
  <c r="O120" i="2"/>
  <c r="L120" i="2"/>
  <c r="I120" i="2"/>
  <c r="G120" i="2"/>
  <c r="U119" i="2"/>
  <c r="R119" i="2"/>
  <c r="O119" i="2"/>
  <c r="L119" i="2"/>
  <c r="I119" i="2"/>
  <c r="G119" i="2"/>
  <c r="U118" i="2"/>
  <c r="R118" i="2"/>
  <c r="O118" i="2"/>
  <c r="L118" i="2"/>
  <c r="I118" i="2"/>
  <c r="G118" i="2"/>
  <c r="U117" i="2"/>
  <c r="R117" i="2"/>
  <c r="O117" i="2"/>
  <c r="L117" i="2"/>
  <c r="I117" i="2"/>
  <c r="G117" i="2"/>
  <c r="U116" i="2"/>
  <c r="R116" i="2"/>
  <c r="O116" i="2"/>
  <c r="L116" i="2"/>
  <c r="I116" i="2"/>
  <c r="G116" i="2"/>
  <c r="E116" i="2"/>
  <c r="E112" i="2" s="1"/>
  <c r="U115" i="2"/>
  <c r="R115" i="2"/>
  <c r="O115" i="2"/>
  <c r="L115" i="2"/>
  <c r="I115" i="2"/>
  <c r="G115" i="2"/>
  <c r="U114" i="2"/>
  <c r="R114" i="2"/>
  <c r="O114" i="2"/>
  <c r="L114" i="2"/>
  <c r="I114" i="2"/>
  <c r="G114" i="2"/>
  <c r="U113" i="2"/>
  <c r="R113" i="2"/>
  <c r="O113" i="2"/>
  <c r="L113" i="2"/>
  <c r="I113" i="2"/>
  <c r="G113" i="2"/>
  <c r="T112" i="2"/>
  <c r="U112" i="2" s="1"/>
  <c r="Q112" i="2"/>
  <c r="R112" i="2" s="1"/>
  <c r="N112" i="2"/>
  <c r="O112" i="2" s="1"/>
  <c r="K112" i="2"/>
  <c r="L112" i="2" s="1"/>
  <c r="H112" i="2"/>
  <c r="I112" i="2" s="1"/>
  <c r="F112" i="2"/>
  <c r="U111" i="2"/>
  <c r="R111" i="2"/>
  <c r="O111" i="2"/>
  <c r="L111" i="2"/>
  <c r="I111" i="2"/>
  <c r="G111" i="2"/>
  <c r="F111" i="2"/>
  <c r="E111" i="2"/>
  <c r="U110" i="2"/>
  <c r="R110" i="2"/>
  <c r="O110" i="2"/>
  <c r="L110" i="2"/>
  <c r="I110" i="2"/>
  <c r="G110" i="2"/>
  <c r="K109" i="2"/>
  <c r="L109" i="2" s="1"/>
  <c r="I109" i="2"/>
  <c r="F109" i="2"/>
  <c r="E109" i="2"/>
  <c r="U108" i="2"/>
  <c r="R108" i="2"/>
  <c r="O108" i="2"/>
  <c r="L108" i="2"/>
  <c r="I108" i="2"/>
  <c r="G108" i="2"/>
  <c r="U107" i="2"/>
  <c r="R107" i="2"/>
  <c r="O107" i="2"/>
  <c r="L107" i="2"/>
  <c r="I107" i="2"/>
  <c r="G107" i="2"/>
  <c r="U106" i="2"/>
  <c r="R106" i="2"/>
  <c r="O106" i="2"/>
  <c r="L106" i="2"/>
  <c r="I106" i="2"/>
  <c r="G106" i="2"/>
  <c r="U105" i="2"/>
  <c r="R105" i="2"/>
  <c r="O105" i="2"/>
  <c r="L105" i="2"/>
  <c r="I105" i="2"/>
  <c r="G105" i="2"/>
  <c r="U104" i="2"/>
  <c r="R104" i="2"/>
  <c r="O104" i="2"/>
  <c r="L104" i="2"/>
  <c r="I104" i="2"/>
  <c r="G104" i="2"/>
  <c r="U103" i="2"/>
  <c r="R103" i="2"/>
  <c r="O103" i="2"/>
  <c r="L103" i="2"/>
  <c r="I103" i="2"/>
  <c r="G103" i="2"/>
  <c r="U102" i="2"/>
  <c r="R102" i="2"/>
  <c r="O102" i="2"/>
  <c r="L102" i="2"/>
  <c r="I102" i="2"/>
  <c r="G102" i="2"/>
  <c r="G98" i="2" s="1"/>
  <c r="G86" i="2" s="1"/>
  <c r="U101" i="2"/>
  <c r="R101" i="2"/>
  <c r="O101" i="2"/>
  <c r="L101" i="2"/>
  <c r="I101" i="2"/>
  <c r="G101" i="2"/>
  <c r="U100" i="2"/>
  <c r="R100" i="2"/>
  <c r="O100" i="2"/>
  <c r="L100" i="2"/>
  <c r="I100" i="2"/>
  <c r="G100" i="2"/>
  <c r="U99" i="2"/>
  <c r="R99" i="2"/>
  <c r="O99" i="2"/>
  <c r="L99" i="2"/>
  <c r="I99" i="2"/>
  <c r="G99" i="2"/>
  <c r="F99" i="2"/>
  <c r="E99" i="2"/>
  <c r="H98" i="2"/>
  <c r="I98" i="2" s="1"/>
  <c r="U97" i="2"/>
  <c r="R97" i="2"/>
  <c r="O97" i="2"/>
  <c r="L97" i="2"/>
  <c r="I97" i="2"/>
  <c r="G97" i="2"/>
  <c r="U96" i="2"/>
  <c r="R96" i="2"/>
  <c r="O96" i="2"/>
  <c r="L96" i="2"/>
  <c r="I96" i="2"/>
  <c r="G96" i="2"/>
  <c r="U95" i="2"/>
  <c r="R95" i="2"/>
  <c r="O95" i="2"/>
  <c r="L95" i="2"/>
  <c r="I95" i="2"/>
  <c r="G95" i="2"/>
  <c r="U94" i="2"/>
  <c r="R94" i="2"/>
  <c r="O94" i="2"/>
  <c r="L94" i="2"/>
  <c r="I94" i="2"/>
  <c r="G94" i="2"/>
  <c r="U93" i="2"/>
  <c r="R93" i="2"/>
  <c r="O93" i="2"/>
  <c r="L93" i="2"/>
  <c r="I93" i="2"/>
  <c r="G93" i="2"/>
  <c r="G92" i="2" s="1"/>
  <c r="G89" i="2" s="1"/>
  <c r="T92" i="2"/>
  <c r="U92" i="2" s="1"/>
  <c r="Q92" i="2"/>
  <c r="R92" i="2" s="1"/>
  <c r="N92" i="2"/>
  <c r="O92" i="2" s="1"/>
  <c r="K92" i="2"/>
  <c r="L92" i="2" s="1"/>
  <c r="H92" i="2"/>
  <c r="F92" i="2"/>
  <c r="E92" i="2"/>
  <c r="E89" i="2" s="1"/>
  <c r="U91" i="2"/>
  <c r="R91" i="2"/>
  <c r="O91" i="2"/>
  <c r="L91" i="2"/>
  <c r="I91" i="2"/>
  <c r="G91" i="2"/>
  <c r="U90" i="2"/>
  <c r="R90" i="2"/>
  <c r="O90" i="2"/>
  <c r="L90" i="2"/>
  <c r="I90" i="2"/>
  <c r="G90" i="2"/>
  <c r="Q89" i="2"/>
  <c r="R89" i="2" s="1"/>
  <c r="N89" i="2"/>
  <c r="O89" i="2" s="1"/>
  <c r="K89" i="2"/>
  <c r="L89" i="2" s="1"/>
  <c r="F89" i="2"/>
  <c r="F150" i="2" s="1"/>
  <c r="U88" i="2"/>
  <c r="R88" i="2"/>
  <c r="O88" i="2"/>
  <c r="L88" i="2"/>
  <c r="I88" i="2"/>
  <c r="G88" i="2"/>
  <c r="U87" i="2"/>
  <c r="R87" i="2"/>
  <c r="O87" i="2"/>
  <c r="L87" i="2"/>
  <c r="I87" i="2"/>
  <c r="G87" i="2"/>
  <c r="U84" i="2"/>
  <c r="R84" i="2"/>
  <c r="O84" i="2"/>
  <c r="L84" i="2"/>
  <c r="I84" i="2"/>
  <c r="G84" i="2"/>
  <c r="F84" i="2"/>
  <c r="U83" i="2"/>
  <c r="R83" i="2"/>
  <c r="O83" i="2"/>
  <c r="L83" i="2"/>
  <c r="I83" i="2"/>
  <c r="G83" i="2"/>
  <c r="U82" i="2"/>
  <c r="R82" i="2"/>
  <c r="O82" i="2"/>
  <c r="L82" i="2"/>
  <c r="I82" i="2"/>
  <c r="G82" i="2"/>
  <c r="U81" i="2"/>
  <c r="R81" i="2"/>
  <c r="O81" i="2"/>
  <c r="L81" i="2"/>
  <c r="I81" i="2"/>
  <c r="G81" i="2"/>
  <c r="U80" i="2"/>
  <c r="R80" i="2"/>
  <c r="O80" i="2"/>
  <c r="L80" i="2"/>
  <c r="I80" i="2"/>
  <c r="G80" i="2"/>
  <c r="U79" i="2"/>
  <c r="R79" i="2"/>
  <c r="O79" i="2"/>
  <c r="L79" i="2"/>
  <c r="I79" i="2"/>
  <c r="G79" i="2"/>
  <c r="U78" i="2"/>
  <c r="R78" i="2"/>
  <c r="O78" i="2"/>
  <c r="L78" i="2"/>
  <c r="I78" i="2"/>
  <c r="G78" i="2"/>
  <c r="U77" i="2"/>
  <c r="R77" i="2"/>
  <c r="O77" i="2"/>
  <c r="L77" i="2"/>
  <c r="I77" i="2"/>
  <c r="G77" i="2"/>
  <c r="U76" i="2"/>
  <c r="R76" i="2"/>
  <c r="O76" i="2"/>
  <c r="L76" i="2"/>
  <c r="I76" i="2"/>
  <c r="G76" i="2"/>
  <c r="U75" i="2"/>
  <c r="R75" i="2"/>
  <c r="O75" i="2"/>
  <c r="L75" i="2"/>
  <c r="I75" i="2"/>
  <c r="G75" i="2"/>
  <c r="U74" i="2"/>
  <c r="R74" i="2"/>
  <c r="O74" i="2"/>
  <c r="L74" i="2"/>
  <c r="I74" i="2"/>
  <c r="G74" i="2"/>
  <c r="U73" i="2"/>
  <c r="R73" i="2"/>
  <c r="O73" i="2"/>
  <c r="L73" i="2"/>
  <c r="I73" i="2"/>
  <c r="G73" i="2"/>
  <c r="U72" i="2"/>
  <c r="R72" i="2"/>
  <c r="O72" i="2"/>
  <c r="L72" i="2"/>
  <c r="I72" i="2"/>
  <c r="G72" i="2"/>
  <c r="F72" i="2"/>
  <c r="E72" i="2"/>
  <c r="E62" i="2" s="1"/>
  <c r="E46" i="2" s="1"/>
  <c r="U71" i="2"/>
  <c r="R71" i="2"/>
  <c r="O71" i="2"/>
  <c r="L71" i="2"/>
  <c r="I71" i="2"/>
  <c r="G71" i="2"/>
  <c r="U70" i="2"/>
  <c r="R70" i="2"/>
  <c r="O70" i="2"/>
  <c r="L70" i="2"/>
  <c r="I70" i="2"/>
  <c r="G70" i="2"/>
  <c r="U69" i="2"/>
  <c r="R69" i="2"/>
  <c r="O69" i="2"/>
  <c r="L69" i="2"/>
  <c r="I69" i="2"/>
  <c r="G69" i="2"/>
  <c r="U68" i="2"/>
  <c r="R68" i="2"/>
  <c r="O68" i="2"/>
  <c r="L68" i="2"/>
  <c r="I68" i="2"/>
  <c r="G68" i="2"/>
  <c r="U67" i="2"/>
  <c r="R67" i="2"/>
  <c r="O67" i="2"/>
  <c r="L67" i="2"/>
  <c r="I67" i="2"/>
  <c r="G67" i="2"/>
  <c r="U66" i="2"/>
  <c r="R66" i="2"/>
  <c r="O66" i="2"/>
  <c r="L66" i="2"/>
  <c r="I66" i="2"/>
  <c r="G66" i="2"/>
  <c r="U65" i="2"/>
  <c r="R65" i="2"/>
  <c r="O65" i="2"/>
  <c r="L65" i="2"/>
  <c r="I65" i="2"/>
  <c r="G65" i="2"/>
  <c r="U64" i="2"/>
  <c r="R64" i="2"/>
  <c r="O64" i="2"/>
  <c r="L64" i="2"/>
  <c r="I64" i="2"/>
  <c r="G64" i="2"/>
  <c r="U63" i="2"/>
  <c r="R63" i="2"/>
  <c r="O63" i="2"/>
  <c r="L63" i="2"/>
  <c r="I63" i="2"/>
  <c r="G63" i="2"/>
  <c r="T62" i="2"/>
  <c r="U62" i="2" s="1"/>
  <c r="Q62" i="2"/>
  <c r="R62" i="2" s="1"/>
  <c r="N62" i="2"/>
  <c r="O62" i="2" s="1"/>
  <c r="K62" i="2"/>
  <c r="H62" i="2"/>
  <c r="I62" i="2" s="1"/>
  <c r="F62" i="2"/>
  <c r="U61" i="2"/>
  <c r="R61" i="2"/>
  <c r="O61" i="2"/>
  <c r="L61" i="2"/>
  <c r="I61" i="2"/>
  <c r="U60" i="2"/>
  <c r="R60" i="2"/>
  <c r="O60" i="2"/>
  <c r="L60" i="2"/>
  <c r="I60" i="2"/>
  <c r="G60" i="2" s="1"/>
  <c r="U59" i="2"/>
  <c r="R59" i="2"/>
  <c r="O59" i="2"/>
  <c r="L59" i="2"/>
  <c r="I59" i="2"/>
  <c r="U58" i="2"/>
  <c r="R58" i="2"/>
  <c r="O58" i="2"/>
  <c r="L58" i="2"/>
  <c r="I58" i="2"/>
  <c r="G58" i="2"/>
  <c r="U57" i="2"/>
  <c r="R57" i="2"/>
  <c r="O57" i="2"/>
  <c r="L57" i="2"/>
  <c r="I57" i="2"/>
  <c r="G57" i="2"/>
  <c r="U56" i="2"/>
  <c r="R56" i="2"/>
  <c r="O56" i="2"/>
  <c r="L56" i="2"/>
  <c r="I56" i="2"/>
  <c r="G56" i="2"/>
  <c r="U55" i="2"/>
  <c r="R55" i="2"/>
  <c r="O55" i="2"/>
  <c r="L55" i="2"/>
  <c r="I55" i="2"/>
  <c r="G55" i="2"/>
  <c r="U54" i="2"/>
  <c r="R54" i="2"/>
  <c r="O54" i="2"/>
  <c r="L54" i="2"/>
  <c r="I54" i="2"/>
  <c r="G54" i="2"/>
  <c r="U53" i="2"/>
  <c r="R53" i="2"/>
  <c r="O53" i="2"/>
  <c r="L53" i="2"/>
  <c r="I53" i="2"/>
  <c r="G53" i="2"/>
  <c r="G50" i="2" s="1"/>
  <c r="U52" i="2"/>
  <c r="R52" i="2"/>
  <c r="O52" i="2"/>
  <c r="L52" i="2"/>
  <c r="I52" i="2"/>
  <c r="G52" i="2"/>
  <c r="U51" i="2"/>
  <c r="R51" i="2"/>
  <c r="O51" i="2"/>
  <c r="L51" i="2"/>
  <c r="I51" i="2"/>
  <c r="G51" i="2"/>
  <c r="T50" i="2"/>
  <c r="U50" i="2" s="1"/>
  <c r="Q50" i="2"/>
  <c r="R50" i="2" s="1"/>
  <c r="N50" i="2"/>
  <c r="O50" i="2" s="1"/>
  <c r="K50" i="2"/>
  <c r="L50" i="2" s="1"/>
  <c r="H50" i="2"/>
  <c r="I50" i="2" s="1"/>
  <c r="F50" i="2"/>
  <c r="F46" i="2" s="1"/>
  <c r="U49" i="2"/>
  <c r="R49" i="2"/>
  <c r="O49" i="2"/>
  <c r="L49" i="2"/>
  <c r="I49" i="2"/>
  <c r="U48" i="2"/>
  <c r="R48" i="2"/>
  <c r="O48" i="2"/>
  <c r="G48" i="2" s="1"/>
  <c r="L48" i="2"/>
  <c r="I48" i="2"/>
  <c r="U47" i="2"/>
  <c r="R47" i="2"/>
  <c r="O47" i="2"/>
  <c r="L47" i="2"/>
  <c r="I47" i="2"/>
  <c r="T46" i="2"/>
  <c r="U46" i="2" s="1"/>
  <c r="Q46" i="2"/>
  <c r="R46" i="2" s="1"/>
  <c r="N46" i="2"/>
  <c r="O46" i="2" s="1"/>
  <c r="H46" i="2"/>
  <c r="I46" i="2" s="1"/>
  <c r="U45" i="2"/>
  <c r="R45" i="2"/>
  <c r="O45" i="2"/>
  <c r="L45" i="2"/>
  <c r="I45" i="2"/>
  <c r="U44" i="2"/>
  <c r="R44" i="2"/>
  <c r="O44" i="2"/>
  <c r="L44" i="2"/>
  <c r="I44" i="2"/>
  <c r="U43" i="2"/>
  <c r="R43" i="2"/>
  <c r="O43" i="2"/>
  <c r="L43" i="2"/>
  <c r="I43" i="2"/>
  <c r="G43" i="2" s="1"/>
  <c r="U42" i="2"/>
  <c r="R42" i="2"/>
  <c r="O42" i="2"/>
  <c r="L42" i="2"/>
  <c r="I42" i="2"/>
  <c r="U41" i="2"/>
  <c r="R41" i="2"/>
  <c r="O41" i="2"/>
  <c r="L41" i="2"/>
  <c r="I41" i="2"/>
  <c r="U40" i="2"/>
  <c r="R40" i="2"/>
  <c r="O40" i="2"/>
  <c r="L40" i="2"/>
  <c r="I40" i="2"/>
  <c r="F40" i="2"/>
  <c r="U39" i="2"/>
  <c r="R39" i="2"/>
  <c r="O39" i="2"/>
  <c r="L39" i="2"/>
  <c r="I39" i="2"/>
  <c r="G39" i="2"/>
  <c r="F39" i="2"/>
  <c r="E39" i="2"/>
  <c r="U38" i="2"/>
  <c r="R38" i="2"/>
  <c r="O38" i="2"/>
  <c r="L38" i="2"/>
  <c r="I38" i="2"/>
  <c r="F38" i="2"/>
  <c r="E38" i="2"/>
  <c r="U37" i="2"/>
  <c r="R37" i="2"/>
  <c r="O37" i="2"/>
  <c r="L37" i="2"/>
  <c r="I37" i="2"/>
  <c r="F37" i="2"/>
  <c r="U36" i="2"/>
  <c r="R36" i="2"/>
  <c r="O36" i="2"/>
  <c r="L36" i="2"/>
  <c r="I36" i="2"/>
  <c r="U35" i="2"/>
  <c r="R35" i="2"/>
  <c r="O35" i="2"/>
  <c r="L35" i="2"/>
  <c r="I35" i="2"/>
  <c r="U34" i="2"/>
  <c r="R34" i="2"/>
  <c r="O34" i="2"/>
  <c r="L34" i="2"/>
  <c r="I34" i="2"/>
  <c r="U33" i="2"/>
  <c r="R33" i="2"/>
  <c r="O33" i="2"/>
  <c r="L33" i="2"/>
  <c r="I33" i="2"/>
  <c r="K32" i="2"/>
  <c r="L32" i="2" s="1"/>
  <c r="I32" i="2"/>
  <c r="U31" i="2"/>
  <c r="R31" i="2"/>
  <c r="O31" i="2"/>
  <c r="L31" i="2"/>
  <c r="I31" i="2"/>
  <c r="G31" i="2" s="1"/>
  <c r="U30" i="2"/>
  <c r="R30" i="2"/>
  <c r="O30" i="2"/>
  <c r="L30" i="2"/>
  <c r="I30" i="2"/>
  <c r="U29" i="2"/>
  <c r="R29" i="2"/>
  <c r="O29" i="2"/>
  <c r="L29" i="2"/>
  <c r="I29" i="2"/>
  <c r="K28" i="2"/>
  <c r="H28" i="2"/>
  <c r="I28" i="2" s="1"/>
  <c r="F28" i="2"/>
  <c r="E28" i="2"/>
  <c r="U27" i="2"/>
  <c r="R27" i="2"/>
  <c r="O27" i="2"/>
  <c r="L27" i="2"/>
  <c r="I27" i="2"/>
  <c r="G27" i="2" s="1"/>
  <c r="G26" i="2" s="1"/>
  <c r="G139" i="2" s="1"/>
  <c r="G140" i="2" s="1"/>
  <c r="F27" i="2"/>
  <c r="T26" i="2"/>
  <c r="T139" i="2" s="1"/>
  <c r="T140" i="2" s="1"/>
  <c r="Q26" i="2"/>
  <c r="R26" i="2" s="1"/>
  <c r="N26" i="2"/>
  <c r="N139" i="2" s="1"/>
  <c r="N140" i="2" s="1"/>
  <c r="K26" i="2"/>
  <c r="L26" i="2" s="1"/>
  <c r="H26" i="2"/>
  <c r="F26" i="2"/>
  <c r="F139" i="2"/>
  <c r="F140" i="2" s="1"/>
  <c r="E26" i="2"/>
  <c r="E139" i="2" s="1"/>
  <c r="E140" i="2" s="1"/>
  <c r="U25" i="2"/>
  <c r="R25" i="2"/>
  <c r="O25" i="2"/>
  <c r="L25" i="2"/>
  <c r="I25" i="2"/>
  <c r="G25" i="2" s="1"/>
  <c r="U24" i="2"/>
  <c r="R24" i="2"/>
  <c r="O24" i="2"/>
  <c r="L24" i="2"/>
  <c r="I24" i="2"/>
  <c r="U23" i="2"/>
  <c r="R23" i="2"/>
  <c r="O23" i="2"/>
  <c r="L23" i="2"/>
  <c r="I23" i="2"/>
  <c r="F23" i="2"/>
  <c r="F148" i="2" s="1"/>
  <c r="E23" i="2"/>
  <c r="E148" i="2" s="1"/>
  <c r="U22" i="2"/>
  <c r="R22" i="2"/>
  <c r="O22" i="2"/>
  <c r="L22" i="2"/>
  <c r="I22" i="2"/>
  <c r="U21" i="2"/>
  <c r="R21" i="2"/>
  <c r="O21" i="2"/>
  <c r="L21" i="2"/>
  <c r="I21" i="2"/>
  <c r="U20" i="2"/>
  <c r="R20" i="2"/>
  <c r="O20" i="2"/>
  <c r="L20" i="2"/>
  <c r="I20" i="2"/>
  <c r="T19" i="2"/>
  <c r="U19" i="2" s="1"/>
  <c r="Q19" i="2"/>
  <c r="R19" i="2" s="1"/>
  <c r="N19" i="2"/>
  <c r="O19" i="2" s="1"/>
  <c r="K19" i="2"/>
  <c r="L19" i="2" s="1"/>
  <c r="H19" i="2"/>
  <c r="F19" i="2"/>
  <c r="E19" i="2"/>
  <c r="U18" i="2"/>
  <c r="R18" i="2"/>
  <c r="O18" i="2"/>
  <c r="L18" i="2"/>
  <c r="I18" i="2"/>
  <c r="F18" i="2"/>
  <c r="E18" i="2"/>
  <c r="E151" i="2"/>
  <c r="U17" i="2"/>
  <c r="R17" i="2"/>
  <c r="O17" i="2"/>
  <c r="L17" i="2"/>
  <c r="I17" i="2"/>
  <c r="G17" i="2" s="1"/>
  <c r="E17" i="2"/>
  <c r="U16" i="2"/>
  <c r="R16" i="2"/>
  <c r="O16" i="2"/>
  <c r="L16" i="2"/>
  <c r="I16" i="2"/>
  <c r="U15" i="2"/>
  <c r="R15" i="2"/>
  <c r="O15" i="2"/>
  <c r="L15" i="2"/>
  <c r="G15" i="2" s="1"/>
  <c r="I15" i="2"/>
  <c r="U14" i="2"/>
  <c r="R14" i="2"/>
  <c r="O14" i="2"/>
  <c r="L14" i="2"/>
  <c r="I14" i="2"/>
  <c r="U13" i="2"/>
  <c r="R13" i="2"/>
  <c r="O13" i="2"/>
  <c r="L13" i="2"/>
  <c r="I13" i="2"/>
  <c r="E13" i="2"/>
  <c r="E12" i="2" s="1"/>
  <c r="E11" i="2" s="1"/>
  <c r="T12" i="2"/>
  <c r="U12" i="2" s="1"/>
  <c r="Q12" i="2"/>
  <c r="R12" i="2" s="1"/>
  <c r="N12" i="2"/>
  <c r="O12" i="2" s="1"/>
  <c r="K12" i="2"/>
  <c r="L12" i="2" s="1"/>
  <c r="H12" i="2"/>
  <c r="I12" i="2" s="1"/>
  <c r="G156" i="1"/>
  <c r="F156" i="1"/>
  <c r="G154" i="1"/>
  <c r="F154" i="1"/>
  <c r="D150" i="1"/>
  <c r="D157" i="1" s="1"/>
  <c r="D158" i="1" s="1"/>
  <c r="O144" i="1"/>
  <c r="I144" i="1"/>
  <c r="T140" i="1"/>
  <c r="T141" i="1"/>
  <c r="S140" i="1"/>
  <c r="S141" i="1" s="1"/>
  <c r="R140" i="1"/>
  <c r="R141" i="1"/>
  <c r="Q140" i="1"/>
  <c r="Q141" i="1" s="1"/>
  <c r="P140" i="1"/>
  <c r="P141" i="1" s="1"/>
  <c r="N137" i="1"/>
  <c r="M137" i="1"/>
  <c r="L137" i="1"/>
  <c r="K137" i="1"/>
  <c r="G137" i="1"/>
  <c r="F137" i="1"/>
  <c r="N136" i="1"/>
  <c r="M136" i="1"/>
  <c r="L136" i="1"/>
  <c r="K136" i="1"/>
  <c r="J136" i="1"/>
  <c r="N135" i="1"/>
  <c r="M135" i="1"/>
  <c r="L135" i="1"/>
  <c r="K135" i="1"/>
  <c r="G135" i="1"/>
  <c r="F135" i="1"/>
  <c r="G133" i="1"/>
  <c r="G136" i="1" s="1"/>
  <c r="F133" i="1"/>
  <c r="F136" i="1" s="1"/>
  <c r="G129" i="1"/>
  <c r="F129" i="1"/>
  <c r="O126" i="1"/>
  <c r="O129" i="1" s="1"/>
  <c r="I126" i="1"/>
  <c r="I123" i="1"/>
  <c r="H122" i="1"/>
  <c r="H125" i="1"/>
  <c r="H129" i="1" s="1"/>
  <c r="I121" i="1"/>
  <c r="Q120" i="1"/>
  <c r="R120" i="1" s="1"/>
  <c r="S120" i="1" s="1"/>
  <c r="T120" i="1" s="1"/>
  <c r="I120" i="1"/>
  <c r="Q119" i="1"/>
  <c r="R119" i="1" s="1"/>
  <c r="S119" i="1" s="1"/>
  <c r="T119" i="1" s="1"/>
  <c r="I119" i="1"/>
  <c r="O118" i="1"/>
  <c r="I118" i="1"/>
  <c r="I117" i="1"/>
  <c r="F117" i="1"/>
  <c r="P117" i="1" s="1"/>
  <c r="P116" i="1"/>
  <c r="Q116" i="1" s="1"/>
  <c r="I116" i="1"/>
  <c r="P115" i="1"/>
  <c r="Q115" i="1" s="1"/>
  <c r="I115" i="1"/>
  <c r="O114" i="1"/>
  <c r="I114" i="1"/>
  <c r="N113" i="1"/>
  <c r="M113" i="1"/>
  <c r="L113" i="1"/>
  <c r="K113" i="1"/>
  <c r="J113" i="1"/>
  <c r="G113" i="1"/>
  <c r="F113" i="1"/>
  <c r="O112" i="1"/>
  <c r="I112" i="1"/>
  <c r="G112" i="1"/>
  <c r="F112" i="1"/>
  <c r="Q111" i="1"/>
  <c r="R111" i="1" s="1"/>
  <c r="I111" i="1"/>
  <c r="P110" i="1"/>
  <c r="Q110" i="1" s="1"/>
  <c r="K110" i="1"/>
  <c r="L110" i="1" s="1"/>
  <c r="G110" i="1"/>
  <c r="F110" i="1"/>
  <c r="F99" i="1" s="1"/>
  <c r="P109" i="1"/>
  <c r="O109" i="1" s="1"/>
  <c r="I109" i="1"/>
  <c r="O108" i="1"/>
  <c r="I108" i="1"/>
  <c r="P107" i="1"/>
  <c r="Q107" i="1" s="1"/>
  <c r="I107" i="1"/>
  <c r="O106" i="1"/>
  <c r="I106" i="1"/>
  <c r="Q105" i="1"/>
  <c r="R105" i="1" s="1"/>
  <c r="I105" i="1"/>
  <c r="Q104" i="1"/>
  <c r="R104" i="1" s="1"/>
  <c r="I104" i="1"/>
  <c r="Q103" i="1"/>
  <c r="R103" i="1" s="1"/>
  <c r="I103" i="1"/>
  <c r="O102" i="1"/>
  <c r="I102" i="1"/>
  <c r="O101" i="1"/>
  <c r="I101" i="1"/>
  <c r="O100" i="1"/>
  <c r="I100" i="1"/>
  <c r="G100" i="1"/>
  <c r="F100" i="1"/>
  <c r="P99" i="1"/>
  <c r="K99" i="1"/>
  <c r="J99" i="1"/>
  <c r="G99" i="1"/>
  <c r="O98" i="1"/>
  <c r="I98" i="1"/>
  <c r="O97" i="1"/>
  <c r="I97" i="1"/>
  <c r="P96" i="1"/>
  <c r="Q96" i="1" s="1"/>
  <c r="R96" i="1" s="1"/>
  <c r="I96" i="1"/>
  <c r="O95" i="1"/>
  <c r="I95" i="1"/>
  <c r="O94" i="1"/>
  <c r="O93" i="1" s="1"/>
  <c r="I94" i="1"/>
  <c r="I93" i="1" s="1"/>
  <c r="N93" i="1"/>
  <c r="M93" i="1"/>
  <c r="M90" i="1" s="1"/>
  <c r="L93" i="1"/>
  <c r="K93" i="1"/>
  <c r="K90" i="1" s="1"/>
  <c r="J93" i="1"/>
  <c r="P93" i="1" s="1"/>
  <c r="G93" i="1"/>
  <c r="G90" i="1" s="1"/>
  <c r="F93" i="1"/>
  <c r="F90" i="1" s="1"/>
  <c r="O92" i="1"/>
  <c r="I92" i="1"/>
  <c r="O91" i="1"/>
  <c r="I91" i="1"/>
  <c r="N90" i="1"/>
  <c r="L90" i="1"/>
  <c r="J90" i="1"/>
  <c r="I90" i="1"/>
  <c r="I89" i="1"/>
  <c r="P87" i="1"/>
  <c r="Q87" i="1" s="1"/>
  <c r="E87" i="1"/>
  <c r="J86" i="1"/>
  <c r="I86" i="1" s="1"/>
  <c r="K85" i="1"/>
  <c r="K84" i="1" s="1"/>
  <c r="U83" i="1"/>
  <c r="O83" i="1"/>
  <c r="I83" i="1"/>
  <c r="G83" i="1"/>
  <c r="U82" i="1"/>
  <c r="Q82" i="1"/>
  <c r="R82" i="1" s="1"/>
  <c r="I82" i="1"/>
  <c r="U81" i="1"/>
  <c r="O81" i="1"/>
  <c r="I81" i="1"/>
  <c r="U80" i="1"/>
  <c r="O80" i="1"/>
  <c r="I80" i="1"/>
  <c r="U79" i="1"/>
  <c r="O79" i="1"/>
  <c r="I79" i="1"/>
  <c r="U78" i="1"/>
  <c r="O78" i="1"/>
  <c r="I78" i="1"/>
  <c r="U77" i="1"/>
  <c r="O77" i="1"/>
  <c r="I77" i="1"/>
  <c r="U76" i="1"/>
  <c r="O76" i="1"/>
  <c r="I76" i="1"/>
  <c r="U75" i="1"/>
  <c r="I75" i="1"/>
  <c r="U74" i="1"/>
  <c r="I74" i="1"/>
  <c r="U73" i="1"/>
  <c r="Q73" i="1"/>
  <c r="R73" i="1" s="1"/>
  <c r="S73" i="1" s="1"/>
  <c r="T73" i="1" s="1"/>
  <c r="I73" i="1"/>
  <c r="U72" i="1"/>
  <c r="I72" i="1"/>
  <c r="U71" i="1"/>
  <c r="I71" i="1"/>
  <c r="G71" i="1"/>
  <c r="F71" i="1"/>
  <c r="P70" i="1"/>
  <c r="U70" i="1" s="1"/>
  <c r="I70" i="1"/>
  <c r="U69" i="1"/>
  <c r="Q69" i="1"/>
  <c r="R69" i="1" s="1"/>
  <c r="S69" i="1" s="1"/>
  <c r="T69" i="1" s="1"/>
  <c r="I69" i="1"/>
  <c r="U68" i="1"/>
  <c r="Q68" i="1"/>
  <c r="R68" i="1" s="1"/>
  <c r="S68" i="1" s="1"/>
  <c r="T68" i="1" s="1"/>
  <c r="I68" i="1"/>
  <c r="U67" i="1"/>
  <c r="Q67" i="1"/>
  <c r="R67" i="1" s="1"/>
  <c r="S67" i="1" s="1"/>
  <c r="T67" i="1" s="1"/>
  <c r="I67" i="1"/>
  <c r="U66" i="1"/>
  <c r="Q66" i="1"/>
  <c r="R66" i="1" s="1"/>
  <c r="S66" i="1" s="1"/>
  <c r="T66" i="1" s="1"/>
  <c r="I66" i="1"/>
  <c r="U65" i="1"/>
  <c r="Q65" i="1"/>
  <c r="R65" i="1" s="1"/>
  <c r="S65" i="1" s="1"/>
  <c r="T65" i="1" s="1"/>
  <c r="I65" i="1"/>
  <c r="U64" i="1"/>
  <c r="Q64" i="1"/>
  <c r="R64" i="1" s="1"/>
  <c r="S64" i="1" s="1"/>
  <c r="T64" i="1" s="1"/>
  <c r="I64" i="1"/>
  <c r="P63" i="1"/>
  <c r="U63" i="1" s="1"/>
  <c r="I63" i="1"/>
  <c r="P62" i="1"/>
  <c r="U62" i="1" s="1"/>
  <c r="I62" i="1"/>
  <c r="I61" i="1" s="1"/>
  <c r="N61" i="1"/>
  <c r="M61" i="1"/>
  <c r="L61" i="1"/>
  <c r="K61" i="1"/>
  <c r="J61" i="1"/>
  <c r="G61" i="1"/>
  <c r="F61" i="1"/>
  <c r="F45" i="1" s="1"/>
  <c r="U60" i="1"/>
  <c r="Q60" i="1"/>
  <c r="R60" i="1" s="1"/>
  <c r="I60" i="1"/>
  <c r="U59" i="1"/>
  <c r="Q59" i="1"/>
  <c r="R59" i="1" s="1"/>
  <c r="S59" i="1" s="1"/>
  <c r="T59" i="1" s="1"/>
  <c r="O59" i="1" s="1"/>
  <c r="I59" i="1"/>
  <c r="U58" i="1"/>
  <c r="O58" i="1"/>
  <c r="I58" i="1"/>
  <c r="U57" i="1"/>
  <c r="Q57" i="1"/>
  <c r="R57" i="1" s="1"/>
  <c r="I57" i="1"/>
  <c r="U56" i="1"/>
  <c r="O56" i="1"/>
  <c r="I56" i="1"/>
  <c r="P55" i="1"/>
  <c r="Q55" i="1" s="1"/>
  <c r="R55" i="1" s="1"/>
  <c r="S55" i="1" s="1"/>
  <c r="I55" i="1"/>
  <c r="U54" i="1"/>
  <c r="Q54" i="1"/>
  <c r="R54" i="1" s="1"/>
  <c r="I54" i="1"/>
  <c r="U53" i="1"/>
  <c r="Q53" i="1"/>
  <c r="R53" i="1" s="1"/>
  <c r="I53" i="1"/>
  <c r="U52" i="1"/>
  <c r="Q52" i="1"/>
  <c r="R52" i="1" s="1"/>
  <c r="I52" i="1"/>
  <c r="Q51" i="1"/>
  <c r="R51" i="1" s="1"/>
  <c r="N51" i="1"/>
  <c r="N49" i="1" s="1"/>
  <c r="N45" i="1" s="1"/>
  <c r="M51" i="1"/>
  <c r="L51" i="1"/>
  <c r="L49" i="1" s="1"/>
  <c r="L45" i="1" s="1"/>
  <c r="K51" i="1"/>
  <c r="J51" i="1"/>
  <c r="O50" i="1"/>
  <c r="I50" i="1"/>
  <c r="P49" i="1"/>
  <c r="M49" i="1"/>
  <c r="M45" i="1" s="1"/>
  <c r="K49" i="1"/>
  <c r="K45" i="1" s="1"/>
  <c r="K8" i="1" s="1"/>
  <c r="K122" i="1" s="1"/>
  <c r="K125" i="1" s="1"/>
  <c r="K129" i="1" s="1"/>
  <c r="G49" i="1"/>
  <c r="U48" i="1"/>
  <c r="Q48" i="1"/>
  <c r="R48" i="1" s="1"/>
  <c r="S48" i="1" s="1"/>
  <c r="I48" i="1"/>
  <c r="P47" i="1"/>
  <c r="U47" i="1" s="1"/>
  <c r="I47" i="1"/>
  <c r="P46" i="1"/>
  <c r="I46" i="1"/>
  <c r="G45" i="1"/>
  <c r="U44" i="1"/>
  <c r="O44" i="1"/>
  <c r="I44" i="1"/>
  <c r="U43" i="1"/>
  <c r="O43" i="1"/>
  <c r="I43" i="1"/>
  <c r="U42" i="1"/>
  <c r="O42" i="1"/>
  <c r="I42" i="1"/>
  <c r="U41" i="1"/>
  <c r="O41" i="1"/>
  <c r="I41" i="1"/>
  <c r="U40" i="1"/>
  <c r="O40" i="1"/>
  <c r="I40" i="1"/>
  <c r="T39" i="1"/>
  <c r="S39" i="1"/>
  <c r="R39" i="1"/>
  <c r="O39" i="1" s="1"/>
  <c r="Q39" i="1"/>
  <c r="P39" i="1"/>
  <c r="U39" i="1" s="1"/>
  <c r="I39" i="1"/>
  <c r="G39" i="1"/>
  <c r="U38" i="1"/>
  <c r="Q38" i="1"/>
  <c r="R38" i="1" s="1"/>
  <c r="S38" i="1" s="1"/>
  <c r="I38" i="1"/>
  <c r="G38" i="1"/>
  <c r="G27" i="1" s="1"/>
  <c r="F38" i="1"/>
  <c r="U37" i="1"/>
  <c r="O37" i="1"/>
  <c r="I37" i="1"/>
  <c r="G37" i="1"/>
  <c r="F37" i="1"/>
  <c r="U36" i="1"/>
  <c r="O36" i="1"/>
  <c r="I36" i="1"/>
  <c r="G36" i="1"/>
  <c r="U35" i="1"/>
  <c r="Q35" i="1"/>
  <c r="R35" i="1" s="1"/>
  <c r="I35" i="1"/>
  <c r="U34" i="1"/>
  <c r="Q34" i="1"/>
  <c r="R34" i="1" s="1"/>
  <c r="I34" i="1"/>
  <c r="U33" i="1"/>
  <c r="Q33" i="1"/>
  <c r="R33" i="1" s="1"/>
  <c r="I33" i="1"/>
  <c r="U32" i="1"/>
  <c r="Q32" i="1"/>
  <c r="R32" i="1" s="1"/>
  <c r="S32" i="1" s="1"/>
  <c r="I32" i="1"/>
  <c r="U31" i="1"/>
  <c r="Q31" i="1"/>
  <c r="R31" i="1" s="1"/>
  <c r="K31" i="1"/>
  <c r="L31" i="1" s="1"/>
  <c r="O30" i="1"/>
  <c r="I30" i="1"/>
  <c r="U30" i="1" s="1"/>
  <c r="P29" i="1"/>
  <c r="U29" i="1" s="1"/>
  <c r="I29" i="1"/>
  <c r="U28" i="1"/>
  <c r="Q28" i="1"/>
  <c r="R28" i="1" s="1"/>
  <c r="I28" i="1"/>
  <c r="K27" i="1"/>
  <c r="J27" i="1"/>
  <c r="F27" i="1"/>
  <c r="O26" i="1"/>
  <c r="I26" i="1"/>
  <c r="G26" i="1"/>
  <c r="O25" i="1"/>
  <c r="O140" i="1" s="1"/>
  <c r="O141" i="1" s="1"/>
  <c r="N25" i="1"/>
  <c r="N140" i="1" s="1"/>
  <c r="N141" i="1" s="1"/>
  <c r="M25" i="1"/>
  <c r="M140" i="1" s="1"/>
  <c r="M141" i="1" s="1"/>
  <c r="L25" i="1"/>
  <c r="L140" i="1" s="1"/>
  <c r="L141" i="1" s="1"/>
  <c r="K25" i="1"/>
  <c r="K140" i="1" s="1"/>
  <c r="K141" i="1" s="1"/>
  <c r="J25" i="1"/>
  <c r="J140" i="1" s="1"/>
  <c r="J141" i="1" s="1"/>
  <c r="I25" i="1"/>
  <c r="I140" i="1" s="1"/>
  <c r="I141" i="1" s="1"/>
  <c r="G25" i="1"/>
  <c r="G140" i="1" s="1"/>
  <c r="G141" i="1" s="1"/>
  <c r="F25" i="1"/>
  <c r="F140" i="1" s="1"/>
  <c r="F141" i="1" s="1"/>
  <c r="I24" i="1"/>
  <c r="I23" i="1"/>
  <c r="I22" i="1"/>
  <c r="G22" i="1"/>
  <c r="F22" i="1"/>
  <c r="O21" i="1"/>
  <c r="I21" i="1"/>
  <c r="I20" i="1"/>
  <c r="P18" i="1"/>
  <c r="Q18" i="1" s="1"/>
  <c r="E18" i="1"/>
  <c r="P17" i="1"/>
  <c r="P20" i="1" s="1"/>
  <c r="I17" i="1"/>
  <c r="I16" i="1" s="1"/>
  <c r="N16" i="1"/>
  <c r="M16" i="1"/>
  <c r="L16" i="1"/>
  <c r="K16" i="1"/>
  <c r="J16" i="1"/>
  <c r="G16" i="1"/>
  <c r="F16" i="1"/>
  <c r="U15" i="1"/>
  <c r="T15" i="1"/>
  <c r="S15" i="1"/>
  <c r="R15" i="1"/>
  <c r="Q15" i="1"/>
  <c r="I15" i="1"/>
  <c r="G15" i="1"/>
  <c r="G152" i="1" s="1"/>
  <c r="F15" i="1"/>
  <c r="F152" i="1" s="1"/>
  <c r="U14" i="1"/>
  <c r="O14" i="1"/>
  <c r="I14" i="1"/>
  <c r="F14" i="1"/>
  <c r="U13" i="1"/>
  <c r="U12" i="1"/>
  <c r="Q12" i="1"/>
  <c r="R12" i="1" s="1"/>
  <c r="I12" i="1"/>
  <c r="U11" i="1"/>
  <c r="U10" i="1"/>
  <c r="Q10" i="1"/>
  <c r="R10" i="1" s="1"/>
  <c r="S10" i="1" s="1"/>
  <c r="I10" i="1"/>
  <c r="F10" i="1"/>
  <c r="P9" i="1"/>
  <c r="N9" i="1"/>
  <c r="M9" i="1"/>
  <c r="L9" i="1"/>
  <c r="K9" i="1"/>
  <c r="J9" i="1"/>
  <c r="G9" i="1"/>
  <c r="Q17" i="1"/>
  <c r="R18" i="1"/>
  <c r="T51" i="3"/>
  <c r="O51" i="3" s="1"/>
  <c r="AB57" i="3"/>
  <c r="W57" i="3" s="1"/>
  <c r="AB59" i="3"/>
  <c r="W59" i="3" s="1"/>
  <c r="AB60" i="3"/>
  <c r="W60" i="3" s="1"/>
  <c r="Q86" i="3"/>
  <c r="R87" i="3"/>
  <c r="AA87" i="3"/>
  <c r="AA86" i="3" s="1"/>
  <c r="Z86" i="3"/>
  <c r="AB103" i="3"/>
  <c r="W103" i="3" s="1"/>
  <c r="AA104" i="3"/>
  <c r="AB104" i="3" s="1"/>
  <c r="Z99" i="3"/>
  <c r="AB105" i="3"/>
  <c r="W105" i="3" s="1"/>
  <c r="S115" i="3"/>
  <c r="AA115" i="3"/>
  <c r="R116" i="3"/>
  <c r="S116" i="3" s="1"/>
  <c r="Q113" i="3"/>
  <c r="T12" i="4"/>
  <c r="O12" i="4" s="1"/>
  <c r="T18" i="4"/>
  <c r="T17" i="4" s="1"/>
  <c r="S17" i="4"/>
  <c r="T28" i="4"/>
  <c r="O28" i="4"/>
  <c r="L27" i="4"/>
  <c r="M31" i="4"/>
  <c r="T31" i="4"/>
  <c r="O31" i="4" s="1"/>
  <c r="T35" i="4"/>
  <c r="O35" i="4" s="1"/>
  <c r="T51" i="4"/>
  <c r="O51" i="4" s="1"/>
  <c r="T54" i="4"/>
  <c r="O54" i="4" s="1"/>
  <c r="S59" i="4"/>
  <c r="T60" i="4"/>
  <c r="O60" i="4" s="1"/>
  <c r="P90" i="4"/>
  <c r="Q93" i="4"/>
  <c r="T104" i="4"/>
  <c r="O104" i="4"/>
  <c r="S116" i="4"/>
  <c r="T116" i="4" s="1"/>
  <c r="O116" i="4" s="1"/>
  <c r="Q135" i="3"/>
  <c r="AA47" i="3"/>
  <c r="AB47" i="3" s="1"/>
  <c r="W47" i="3" s="1"/>
  <c r="S52" i="3"/>
  <c r="T52" i="3" s="1"/>
  <c r="T57" i="3"/>
  <c r="O57" i="3" s="1"/>
  <c r="T59" i="3"/>
  <c r="O59" i="3" s="1"/>
  <c r="T60" i="3"/>
  <c r="O60" i="3"/>
  <c r="P90" i="3"/>
  <c r="Q93" i="3"/>
  <c r="S96" i="3"/>
  <c r="X96" i="3"/>
  <c r="M110" i="3"/>
  <c r="L99" i="3"/>
  <c r="L85" i="3" s="1"/>
  <c r="L84" i="3" s="1"/>
  <c r="S110" i="3"/>
  <c r="T110" i="3" s="1"/>
  <c r="O110" i="3" s="1"/>
  <c r="AA110" i="3"/>
  <c r="AB110" i="3"/>
  <c r="W110" i="3" s="1"/>
  <c r="AB111" i="3"/>
  <c r="W111" i="3" s="1"/>
  <c r="Z116" i="3"/>
  <c r="AA116" i="3" s="1"/>
  <c r="Y113" i="3"/>
  <c r="T10" i="4"/>
  <c r="T9" i="4" s="1"/>
  <c r="T33" i="4"/>
  <c r="O33" i="4" s="1"/>
  <c r="T52" i="4"/>
  <c r="O52" i="4" s="1"/>
  <c r="R55" i="4"/>
  <c r="S55" i="4" s="1"/>
  <c r="Q49" i="4"/>
  <c r="T105" i="4"/>
  <c r="O105" i="4"/>
  <c r="S110" i="4"/>
  <c r="T110" i="4"/>
  <c r="R115" i="4"/>
  <c r="V17" i="1"/>
  <c r="P136" i="1"/>
  <c r="N32" i="2"/>
  <c r="N109" i="2"/>
  <c r="K139" i="2"/>
  <c r="K140" i="2" s="1"/>
  <c r="Q139" i="2"/>
  <c r="Q140" i="2" s="1"/>
  <c r="Q136" i="3"/>
  <c r="X136" i="3"/>
  <c r="F150" i="4"/>
  <c r="J135" i="4"/>
  <c r="T12" i="5"/>
  <c r="O12" i="5" s="1"/>
  <c r="AB31" i="5"/>
  <c r="W31" i="5" s="1"/>
  <c r="AB32" i="5"/>
  <c r="W32" i="5" s="1"/>
  <c r="AB33" i="5"/>
  <c r="W33" i="5" s="1"/>
  <c r="AB34" i="5"/>
  <c r="W34" i="5" s="1"/>
  <c r="AB35" i="5"/>
  <c r="W35" i="5" s="1"/>
  <c r="AA47" i="5"/>
  <c r="AB47" i="5" s="1"/>
  <c r="W47" i="5" s="1"/>
  <c r="S48" i="5"/>
  <c r="T48" i="5"/>
  <c r="O48" i="5" s="1"/>
  <c r="AA51" i="5"/>
  <c r="Z49" i="5"/>
  <c r="T57" i="5"/>
  <c r="O57" i="5"/>
  <c r="T59" i="5"/>
  <c r="O59" i="5" s="1"/>
  <c r="P90" i="5"/>
  <c r="Q93" i="5"/>
  <c r="S96" i="5"/>
  <c r="T96" i="5" s="1"/>
  <c r="O96" i="5" s="1"/>
  <c r="X96" i="5"/>
  <c r="Y96" i="5" s="1"/>
  <c r="Z96" i="5" s="1"/>
  <c r="T104" i="5"/>
  <c r="O104" i="5" s="1"/>
  <c r="M110" i="5"/>
  <c r="L99" i="5"/>
  <c r="L85" i="5" s="1"/>
  <c r="L84" i="5" s="1"/>
  <c r="S110" i="5"/>
  <c r="T110" i="5" s="1"/>
  <c r="O110" i="5" s="1"/>
  <c r="AA110" i="5"/>
  <c r="AB110" i="5" s="1"/>
  <c r="W110" i="5" s="1"/>
  <c r="AB111" i="5"/>
  <c r="W111" i="5" s="1"/>
  <c r="Z116" i="5"/>
  <c r="Y113" i="5"/>
  <c r="AB18" i="6"/>
  <c r="AB17" i="6" s="1"/>
  <c r="AA17" i="6"/>
  <c r="AA28" i="6"/>
  <c r="S46" i="6"/>
  <c r="T46" i="6"/>
  <c r="O46" i="6" s="1"/>
  <c r="Z46" i="6"/>
  <c r="AA46" i="6" s="1"/>
  <c r="AB46" i="6" s="1"/>
  <c r="W46" i="6" s="1"/>
  <c r="T48" i="6"/>
  <c r="O48" i="6" s="1"/>
  <c r="T52" i="6"/>
  <c r="O52" i="6" s="1"/>
  <c r="T53" i="6"/>
  <c r="O53" i="6" s="1"/>
  <c r="T54" i="6"/>
  <c r="O54" i="6" s="1"/>
  <c r="S59" i="6"/>
  <c r="Q9" i="1"/>
  <c r="U17" i="1"/>
  <c r="P27" i="1"/>
  <c r="U27" i="1" s="1"/>
  <c r="Q29" i="1"/>
  <c r="Q47" i="1"/>
  <c r="R47" i="1" s="1"/>
  <c r="S47" i="1" s="1"/>
  <c r="T47" i="1" s="1"/>
  <c r="J135" i="1"/>
  <c r="O26" i="2"/>
  <c r="U26" i="2"/>
  <c r="E98" i="2"/>
  <c r="Y17" i="3"/>
  <c r="Q20" i="3"/>
  <c r="Q16" i="3" s="1"/>
  <c r="X20" i="3"/>
  <c r="Q46" i="3"/>
  <c r="R46" i="3" s="1"/>
  <c r="Q47" i="3"/>
  <c r="R47" i="3" s="1"/>
  <c r="Y49" i="3"/>
  <c r="W52" i="3"/>
  <c r="O53" i="3"/>
  <c r="W53" i="3"/>
  <c r="O54" i="3"/>
  <c r="W54" i="3"/>
  <c r="W55" i="3"/>
  <c r="O82" i="3"/>
  <c r="W82" i="3"/>
  <c r="J85" i="3"/>
  <c r="I86" i="3"/>
  <c r="Y86" i="3"/>
  <c r="Y99" i="3"/>
  <c r="O105" i="3"/>
  <c r="O107" i="3"/>
  <c r="W107" i="3"/>
  <c r="P113" i="3"/>
  <c r="X113" i="3"/>
  <c r="J135" i="3"/>
  <c r="G9" i="4"/>
  <c r="G8" i="4"/>
  <c r="R9" i="4"/>
  <c r="P136" i="4"/>
  <c r="P135" i="4"/>
  <c r="R17" i="4"/>
  <c r="V17" i="4"/>
  <c r="P20" i="4"/>
  <c r="P27" i="4"/>
  <c r="U27" i="4" s="1"/>
  <c r="Q29" i="4"/>
  <c r="O32" i="4"/>
  <c r="O34" i="4"/>
  <c r="Q46" i="4"/>
  <c r="R46" i="4" s="1"/>
  <c r="S46" i="4" s="1"/>
  <c r="Q47" i="4"/>
  <c r="P49" i="4"/>
  <c r="R49" i="4"/>
  <c r="O57" i="4"/>
  <c r="V86" i="4"/>
  <c r="O96" i="4"/>
  <c r="K99" i="4"/>
  <c r="K85" i="4" s="1"/>
  <c r="K84" i="4" s="1"/>
  <c r="F149" i="4"/>
  <c r="O111" i="4"/>
  <c r="AA12" i="5"/>
  <c r="AB12" i="5"/>
  <c r="W12" i="5" s="1"/>
  <c r="AA18" i="5"/>
  <c r="Z17" i="5"/>
  <c r="T28" i="5"/>
  <c r="Z29" i="5"/>
  <c r="L27" i="5"/>
  <c r="M31" i="5"/>
  <c r="O31" i="5"/>
  <c r="T32" i="5"/>
  <c r="O32" i="5"/>
  <c r="T34" i="5"/>
  <c r="O34" i="5" s="1"/>
  <c r="O35" i="5"/>
  <c r="T51" i="5"/>
  <c r="O51" i="5" s="1"/>
  <c r="AB57" i="5"/>
  <c r="W57" i="5" s="1"/>
  <c r="AB59" i="5"/>
  <c r="W59" i="5" s="1"/>
  <c r="AB60" i="5"/>
  <c r="W60" i="5" s="1"/>
  <c r="Q86" i="5"/>
  <c r="R87" i="5"/>
  <c r="S103" i="5"/>
  <c r="R99" i="5"/>
  <c r="AA104" i="5"/>
  <c r="AB104" i="5" s="1"/>
  <c r="AB105" i="5"/>
  <c r="W105" i="5" s="1"/>
  <c r="S115" i="5"/>
  <c r="AA115" i="5"/>
  <c r="R116" i="5"/>
  <c r="S116" i="5" s="1"/>
  <c r="Y9" i="6"/>
  <c r="Z10" i="6"/>
  <c r="AB48" i="6"/>
  <c r="W48" i="6" s="1"/>
  <c r="S51" i="6"/>
  <c r="AB51" i="6"/>
  <c r="AB52" i="6"/>
  <c r="W52" i="6" s="1"/>
  <c r="AB53" i="6"/>
  <c r="W53" i="6" s="1"/>
  <c r="AB54" i="6"/>
  <c r="W54" i="6" s="1"/>
  <c r="J135" i="5"/>
  <c r="P136" i="5"/>
  <c r="J137" i="5"/>
  <c r="P136" i="6"/>
  <c r="P135" i="6"/>
  <c r="Y136" i="6"/>
  <c r="R82" i="6"/>
  <c r="S82" i="6" s="1"/>
  <c r="P137" i="6"/>
  <c r="Q137" i="6"/>
  <c r="Q89" i="6"/>
  <c r="Z87" i="6"/>
  <c r="AA87" i="6" s="1"/>
  <c r="Y86" i="6"/>
  <c r="Y89" i="6" s="1"/>
  <c r="G150" i="6"/>
  <c r="Q93" i="6"/>
  <c r="Q96" i="6"/>
  <c r="R96" i="6" s="1"/>
  <c r="G149" i="6"/>
  <c r="N110" i="6"/>
  <c r="N99" i="6" s="1"/>
  <c r="N85" i="6" s="1"/>
  <c r="N84" i="6" s="1"/>
  <c r="M99" i="6"/>
  <c r="S110" i="6"/>
  <c r="T110" i="6"/>
  <c r="O110" i="6" s="1"/>
  <c r="AB111" i="6"/>
  <c r="W111" i="6" s="1"/>
  <c r="Z116" i="6"/>
  <c r="AA116" i="6" s="1"/>
  <c r="AB116" i="6" s="1"/>
  <c r="Y113" i="6"/>
  <c r="P16" i="5"/>
  <c r="Y17" i="5"/>
  <c r="X20" i="5"/>
  <c r="X16" i="5" s="1"/>
  <c r="O38" i="5"/>
  <c r="Q46" i="5"/>
  <c r="R46" i="5" s="1"/>
  <c r="S46" i="5" s="1"/>
  <c r="Q47" i="5"/>
  <c r="R47" i="5" s="1"/>
  <c r="S47" i="5" s="1"/>
  <c r="Y49" i="5"/>
  <c r="W52" i="5"/>
  <c r="O53" i="5"/>
  <c r="W53" i="5"/>
  <c r="O54" i="5"/>
  <c r="W54" i="5"/>
  <c r="O55" i="5"/>
  <c r="W55" i="5"/>
  <c r="O82" i="5"/>
  <c r="W82" i="5"/>
  <c r="J85" i="5"/>
  <c r="I86" i="5"/>
  <c r="Q99" i="5"/>
  <c r="O105" i="5"/>
  <c r="O107" i="5"/>
  <c r="W107" i="5"/>
  <c r="O111" i="5"/>
  <c r="X113" i="5"/>
  <c r="W12" i="6"/>
  <c r="X16" i="6"/>
  <c r="U17" i="6"/>
  <c r="X136" i="6"/>
  <c r="Z17" i="6"/>
  <c r="Z20" i="6" s="1"/>
  <c r="P20" i="6"/>
  <c r="Q29" i="6"/>
  <c r="R29" i="6" s="1"/>
  <c r="W31" i="6"/>
  <c r="O32" i="6"/>
  <c r="W32" i="6"/>
  <c r="W33" i="6"/>
  <c r="O34" i="6"/>
  <c r="W34" i="6"/>
  <c r="W35" i="6"/>
  <c r="W38" i="6"/>
  <c r="W47" i="6"/>
  <c r="J49" i="6"/>
  <c r="J45" i="6"/>
  <c r="O57" i="6"/>
  <c r="W57" i="6"/>
  <c r="O60" i="6"/>
  <c r="W60" i="6"/>
  <c r="Q62" i="6"/>
  <c r="J137" i="6"/>
  <c r="J135" i="6"/>
  <c r="U86" i="6"/>
  <c r="I86" i="6"/>
  <c r="V86" i="6"/>
  <c r="R87" i="6"/>
  <c r="R86" i="6" s="1"/>
  <c r="P89" i="6"/>
  <c r="G99" i="6"/>
  <c r="G85" i="6" s="1"/>
  <c r="G84" i="6" s="1"/>
  <c r="L99" i="6"/>
  <c r="T103" i="6"/>
  <c r="O103" i="6" s="1"/>
  <c r="AB103" i="6"/>
  <c r="W103" i="6" s="1"/>
  <c r="AB105" i="6"/>
  <c r="W105" i="6" s="1"/>
  <c r="S115" i="6"/>
  <c r="AA115" i="6"/>
  <c r="AA113" i="6" s="1"/>
  <c r="Z113" i="6"/>
  <c r="K99" i="6"/>
  <c r="K85" i="6" s="1"/>
  <c r="K84" i="6" s="1"/>
  <c r="Q99" i="6"/>
  <c r="W104" i="6"/>
  <c r="O105" i="6"/>
  <c r="O107" i="6"/>
  <c r="W107" i="6"/>
  <c r="O111" i="6"/>
  <c r="X113" i="6"/>
  <c r="T115" i="6"/>
  <c r="O115" i="6" s="1"/>
  <c r="U89" i="6"/>
  <c r="J84" i="5"/>
  <c r="Y136" i="5"/>
  <c r="Y20" i="5"/>
  <c r="Y16" i="5" s="1"/>
  <c r="U16" i="5"/>
  <c r="AB115" i="6"/>
  <c r="S87" i="6"/>
  <c r="Q61" i="6"/>
  <c r="R62" i="6"/>
  <c r="S62" i="6" s="1"/>
  <c r="T62" i="6" s="1"/>
  <c r="Z136" i="6"/>
  <c r="R93" i="6"/>
  <c r="Q90" i="6"/>
  <c r="Q85" i="6" s="1"/>
  <c r="Y137" i="6"/>
  <c r="W51" i="6"/>
  <c r="T51" i="6"/>
  <c r="AA10" i="6"/>
  <c r="Z9" i="6"/>
  <c r="T115" i="5"/>
  <c r="O115" i="5" s="1"/>
  <c r="T103" i="5"/>
  <c r="S99" i="5"/>
  <c r="O28" i="5"/>
  <c r="Z136" i="5"/>
  <c r="Z20" i="5"/>
  <c r="Z16" i="5"/>
  <c r="Y137" i="3"/>
  <c r="Y89" i="3"/>
  <c r="X16" i="3"/>
  <c r="R29" i="1"/>
  <c r="Q27" i="1"/>
  <c r="AB28" i="6"/>
  <c r="AA136" i="6"/>
  <c r="AA20" i="6"/>
  <c r="N110" i="5"/>
  <c r="M99" i="5"/>
  <c r="AB51" i="5"/>
  <c r="W51" i="5" s="1"/>
  <c r="AA49" i="5"/>
  <c r="O32" i="2"/>
  <c r="Q32" i="2"/>
  <c r="N28" i="2"/>
  <c r="O110" i="4"/>
  <c r="O10" i="4"/>
  <c r="N110" i="3"/>
  <c r="M99" i="3"/>
  <c r="M85" i="3" s="1"/>
  <c r="M84" i="3" s="1"/>
  <c r="R93" i="4"/>
  <c r="Q90" i="4"/>
  <c r="S136" i="4"/>
  <c r="S20" i="4"/>
  <c r="S16" i="4" s="1"/>
  <c r="AB115" i="3"/>
  <c r="AB87" i="3"/>
  <c r="AB86" i="3" s="1"/>
  <c r="AB137" i="3" s="1"/>
  <c r="Q137" i="3"/>
  <c r="Q89" i="3"/>
  <c r="Q136" i="1"/>
  <c r="Q20" i="1"/>
  <c r="Q16" i="1" s="1"/>
  <c r="U20" i="6"/>
  <c r="P16" i="6"/>
  <c r="U16" i="6" s="1"/>
  <c r="AB115" i="5"/>
  <c r="W115" i="5" s="1"/>
  <c r="N31" i="5"/>
  <c r="M27" i="5"/>
  <c r="AA29" i="5"/>
  <c r="AB29" i="5" s="1"/>
  <c r="P16" i="4"/>
  <c r="U20" i="4"/>
  <c r="R136" i="4"/>
  <c r="R20" i="4"/>
  <c r="R16" i="4" s="1"/>
  <c r="J84" i="3"/>
  <c r="Y136" i="3"/>
  <c r="Y135" i="3"/>
  <c r="Y20" i="3"/>
  <c r="T59" i="6"/>
  <c r="R93" i="5"/>
  <c r="S93" i="5" s="1"/>
  <c r="Q90" i="5"/>
  <c r="O109" i="2"/>
  <c r="Q109" i="2"/>
  <c r="N98" i="2"/>
  <c r="S115" i="4"/>
  <c r="T115" i="4" s="1"/>
  <c r="Y96" i="3"/>
  <c r="Z96" i="3" s="1"/>
  <c r="R93" i="3"/>
  <c r="Q90" i="3"/>
  <c r="T10" i="1"/>
  <c r="O10" i="1" s="1"/>
  <c r="N31" i="4"/>
  <c r="I31" i="4" s="1"/>
  <c r="I27" i="4" s="1"/>
  <c r="M27" i="4"/>
  <c r="AA99" i="3"/>
  <c r="Z137" i="3"/>
  <c r="Z89" i="3"/>
  <c r="S87" i="3"/>
  <c r="S86" i="3" s="1"/>
  <c r="R86" i="3"/>
  <c r="R89" i="3" s="1"/>
  <c r="S18" i="1"/>
  <c r="T18" i="1" s="1"/>
  <c r="R17" i="1"/>
  <c r="R20" i="1" s="1"/>
  <c r="R136" i="1"/>
  <c r="R137" i="3"/>
  <c r="T17" i="1"/>
  <c r="T87" i="3"/>
  <c r="T86" i="3" s="1"/>
  <c r="X93" i="5"/>
  <c r="X90" i="5" s="1"/>
  <c r="R90" i="5"/>
  <c r="O59" i="6"/>
  <c r="U16" i="4"/>
  <c r="N27" i="5"/>
  <c r="N8" i="5" s="1"/>
  <c r="I31" i="5"/>
  <c r="R90" i="4"/>
  <c r="S93" i="4"/>
  <c r="N99" i="3"/>
  <c r="N85" i="3" s="1"/>
  <c r="N84" i="3" s="1"/>
  <c r="I110" i="3"/>
  <c r="R32" i="2"/>
  <c r="T32" i="2"/>
  <c r="Q28" i="2"/>
  <c r="AB49" i="5"/>
  <c r="AA16" i="6"/>
  <c r="W28" i="6"/>
  <c r="X93" i="6"/>
  <c r="R90" i="6"/>
  <c r="S93" i="6"/>
  <c r="T93" i="6" s="1"/>
  <c r="R61" i="6"/>
  <c r="S86" i="6"/>
  <c r="T87" i="6"/>
  <c r="T86" i="6" s="1"/>
  <c r="N27" i="4"/>
  <c r="N8" i="4" s="1"/>
  <c r="X93" i="3"/>
  <c r="Y93" i="3" s="1"/>
  <c r="R90" i="3"/>
  <c r="S93" i="3"/>
  <c r="O98" i="2"/>
  <c r="N86" i="2"/>
  <c r="R109" i="2"/>
  <c r="T109" i="2"/>
  <c r="Q98" i="2"/>
  <c r="Y16" i="3"/>
  <c r="W115" i="3"/>
  <c r="O28" i="2"/>
  <c r="N11" i="2"/>
  <c r="O11" i="2" s="1"/>
  <c r="N99" i="5"/>
  <c r="I110" i="5"/>
  <c r="S29" i="1"/>
  <c r="T29" i="1" s="1"/>
  <c r="O29" i="1" s="1"/>
  <c r="R27" i="1"/>
  <c r="T99" i="5"/>
  <c r="O103" i="5"/>
  <c r="AA9" i="6"/>
  <c r="AB10" i="6"/>
  <c r="AB9" i="6" s="1"/>
  <c r="O51" i="6"/>
  <c r="W115" i="6"/>
  <c r="U109" i="2"/>
  <c r="T98" i="2"/>
  <c r="T93" i="3"/>
  <c r="S90" i="3"/>
  <c r="X90" i="3"/>
  <c r="Y93" i="6"/>
  <c r="Z93" i="6" s="1"/>
  <c r="AA93" i="6" s="1"/>
  <c r="AB93" i="6" s="1"/>
  <c r="U32" i="2"/>
  <c r="T28" i="2"/>
  <c r="S137" i="3"/>
  <c r="S89" i="3"/>
  <c r="R98" i="2"/>
  <c r="Q86" i="2"/>
  <c r="R86" i="2" s="1"/>
  <c r="S61" i="6"/>
  <c r="R28" i="2"/>
  <c r="Q11" i="2"/>
  <c r="T93" i="4"/>
  <c r="T90" i="4" s="1"/>
  <c r="S90" i="4"/>
  <c r="Y93" i="5"/>
  <c r="Y90" i="5" s="1"/>
  <c r="T137" i="3"/>
  <c r="T89" i="3"/>
  <c r="G109" i="2"/>
  <c r="Z93" i="5"/>
  <c r="Z90" i="5" s="1"/>
  <c r="U98" i="2"/>
  <c r="AA89" i="3" l="1"/>
  <c r="AA137" i="3"/>
  <c r="R103" i="4"/>
  <c r="Q117" i="4"/>
  <c r="P113" i="4"/>
  <c r="Z93" i="3"/>
  <c r="Y90" i="3"/>
  <c r="Y85" i="3" s="1"/>
  <c r="Y84" i="3" s="1"/>
  <c r="L28" i="2"/>
  <c r="G152" i="5"/>
  <c r="G9" i="5"/>
  <c r="K85" i="5"/>
  <c r="K84" i="5" s="1"/>
  <c r="Y61" i="6"/>
  <c r="Z62" i="6"/>
  <c r="X137" i="6"/>
  <c r="X135" i="6"/>
  <c r="X89" i="6"/>
  <c r="Q107" i="4"/>
  <c r="R107" i="4" s="1"/>
  <c r="S107" i="4" s="1"/>
  <c r="T107" i="4" s="1"/>
  <c r="O107" i="4" s="1"/>
  <c r="P99" i="4"/>
  <c r="W29" i="5"/>
  <c r="AB87" i="6"/>
  <c r="AB86" i="6" s="1"/>
  <c r="AA86" i="6"/>
  <c r="S103" i="3"/>
  <c r="Z28" i="5"/>
  <c r="Y27" i="5"/>
  <c r="R33" i="5"/>
  <c r="S33" i="5" s="1"/>
  <c r="T33" i="5" s="1"/>
  <c r="S12" i="6"/>
  <c r="T12" i="6" s="1"/>
  <c r="O12" i="6"/>
  <c r="Y135" i="6"/>
  <c r="Y20" i="6"/>
  <c r="Y16" i="6" s="1"/>
  <c r="S28" i="6"/>
  <c r="T28" i="6" s="1"/>
  <c r="O28" i="6"/>
  <c r="U46" i="1"/>
  <c r="Q46" i="1"/>
  <c r="R46" i="1" s="1"/>
  <c r="S46" i="1" s="1"/>
  <c r="T46" i="1" s="1"/>
  <c r="O46" i="1" s="1"/>
  <c r="G149" i="4"/>
  <c r="G99" i="4"/>
  <c r="Q85" i="2"/>
  <c r="R85" i="2" s="1"/>
  <c r="T20" i="1"/>
  <c r="T16" i="1"/>
  <c r="T136" i="1"/>
  <c r="Q99" i="4"/>
  <c r="Q49" i="1"/>
  <c r="F151" i="2"/>
  <c r="F149" i="2" s="1"/>
  <c r="F12" i="2"/>
  <c r="F11" i="2" s="1"/>
  <c r="I19" i="2"/>
  <c r="H11" i="2"/>
  <c r="H139" i="2"/>
  <c r="H140" i="2" s="1"/>
  <c r="I26" i="2"/>
  <c r="R82" i="4"/>
  <c r="S82" i="4" s="1"/>
  <c r="T82" i="4" s="1"/>
  <c r="O82" i="4"/>
  <c r="F8" i="5"/>
  <c r="F122" i="5" s="1"/>
  <c r="F123" i="5" s="1"/>
  <c r="F155" i="5" s="1"/>
  <c r="Z87" i="5"/>
  <c r="Y86" i="5"/>
  <c r="Q116" i="6"/>
  <c r="P113" i="6"/>
  <c r="Q62" i="4"/>
  <c r="P61" i="4"/>
  <c r="U61" i="4" s="1"/>
  <c r="U62" i="4"/>
  <c r="R10" i="6"/>
  <c r="Q9" i="6"/>
  <c r="S31" i="6"/>
  <c r="T31" i="6" s="1"/>
  <c r="R33" i="6"/>
  <c r="S33" i="6" s="1"/>
  <c r="T33" i="6" s="1"/>
  <c r="O33" i="6"/>
  <c r="S35" i="6"/>
  <c r="T35" i="6" s="1"/>
  <c r="T11" i="2"/>
  <c r="U11" i="2" s="1"/>
  <c r="U28" i="2"/>
  <c r="AA93" i="5"/>
  <c r="AB93" i="5" s="1"/>
  <c r="Q121" i="2"/>
  <c r="R121" i="2" s="1"/>
  <c r="R11" i="2"/>
  <c r="AB89" i="3"/>
  <c r="O86" i="2"/>
  <c r="N85" i="2"/>
  <c r="L8" i="4"/>
  <c r="L122" i="4" s="1"/>
  <c r="L125" i="4" s="1"/>
  <c r="L129" i="4" s="1"/>
  <c r="L62" i="2"/>
  <c r="K46" i="2"/>
  <c r="L46" i="2" s="1"/>
  <c r="AA51" i="3"/>
  <c r="Z49" i="3"/>
  <c r="Q55" i="3"/>
  <c r="P49" i="3"/>
  <c r="R104" i="3"/>
  <c r="S104" i="3" s="1"/>
  <c r="T104" i="3" s="1"/>
  <c r="O104" i="3" s="1"/>
  <c r="Q99" i="3"/>
  <c r="Q85" i="3" s="1"/>
  <c r="Q84" i="3" s="1"/>
  <c r="O109" i="3"/>
  <c r="P99" i="3"/>
  <c r="R111" i="3"/>
  <c r="S111" i="3" s="1"/>
  <c r="T111" i="3" s="1"/>
  <c r="O111" i="3"/>
  <c r="AA119" i="3"/>
  <c r="AB119" i="3" s="1"/>
  <c r="Z113" i="3"/>
  <c r="Z103" i="5"/>
  <c r="Y99" i="5"/>
  <c r="Q117" i="5"/>
  <c r="P113" i="5"/>
  <c r="AA59" i="6"/>
  <c r="AB59" i="6" s="1"/>
  <c r="Z110" i="6"/>
  <c r="Y99" i="6"/>
  <c r="S89" i="6"/>
  <c r="S137" i="6"/>
  <c r="S87" i="5"/>
  <c r="R86" i="5"/>
  <c r="AB18" i="5"/>
  <c r="AB17" i="5" s="1"/>
  <c r="AA17" i="5"/>
  <c r="I92" i="2"/>
  <c r="H89" i="2"/>
  <c r="R48" i="4"/>
  <c r="S48" i="4" s="1"/>
  <c r="T48" i="4" s="1"/>
  <c r="O48" i="4"/>
  <c r="S53" i="4"/>
  <c r="T53" i="4" s="1"/>
  <c r="O53" i="4"/>
  <c r="F151" i="5"/>
  <c r="F150" i="5" s="1"/>
  <c r="F85" i="5"/>
  <c r="F84" i="5" s="1"/>
  <c r="R29" i="4"/>
  <c r="Q27" i="4"/>
  <c r="AA116" i="5"/>
  <c r="Z113" i="5"/>
  <c r="M110" i="4"/>
  <c r="T115" i="3"/>
  <c r="O115" i="3" s="1"/>
  <c r="W49" i="5"/>
  <c r="T96" i="3"/>
  <c r="T90" i="3" s="1"/>
  <c r="O96" i="3"/>
  <c r="T59" i="4"/>
  <c r="O59" i="4" s="1"/>
  <c r="G151" i="1"/>
  <c r="G85" i="1"/>
  <c r="G84" i="1" s="1"/>
  <c r="S120" i="3"/>
  <c r="T120" i="3" s="1"/>
  <c r="R113" i="3"/>
  <c r="R18" i="5"/>
  <c r="Q17" i="5"/>
  <c r="Z48" i="5"/>
  <c r="AA48" i="5" s="1"/>
  <c r="AB48" i="5" s="1"/>
  <c r="R52" i="5"/>
  <c r="Q49" i="5"/>
  <c r="R60" i="5"/>
  <c r="S60" i="5" s="1"/>
  <c r="T60" i="5" s="1"/>
  <c r="G150" i="5"/>
  <c r="O141" i="6"/>
  <c r="J8" i="6"/>
  <c r="K122" i="4"/>
  <c r="K125" i="4" s="1"/>
  <c r="K129" i="4" s="1"/>
  <c r="P45" i="4"/>
  <c r="P8" i="4" s="1"/>
  <c r="G29" i="2"/>
  <c r="G36" i="2"/>
  <c r="G47" i="2"/>
  <c r="I51" i="3"/>
  <c r="I49" i="3" s="1"/>
  <c r="G84" i="3"/>
  <c r="O93" i="5"/>
  <c r="O90" i="5" s="1"/>
  <c r="K8" i="6"/>
  <c r="I51" i="6"/>
  <c r="I49" i="6" s="1"/>
  <c r="I61" i="6"/>
  <c r="O93" i="6"/>
  <c r="F113" i="6"/>
  <c r="M85" i="5"/>
  <c r="M84" i="5" s="1"/>
  <c r="L85" i="6"/>
  <c r="L84" i="6" s="1"/>
  <c r="M85" i="6"/>
  <c r="M84" i="6" s="1"/>
  <c r="O90" i="4"/>
  <c r="I9" i="1"/>
  <c r="P86" i="1"/>
  <c r="G18" i="2"/>
  <c r="G21" i="2"/>
  <c r="L8" i="5"/>
  <c r="L122" i="5" s="1"/>
  <c r="L125" i="5" s="1"/>
  <c r="L129" i="5" s="1"/>
  <c r="G24" i="2"/>
  <c r="F149" i="3"/>
  <c r="G27" i="5"/>
  <c r="W39" i="5"/>
  <c r="M45" i="5"/>
  <c r="M8" i="5" s="1"/>
  <c r="M122" i="5" s="1"/>
  <c r="M125" i="5" s="1"/>
  <c r="M129" i="5" s="1"/>
  <c r="I61" i="5"/>
  <c r="L45" i="6"/>
  <c r="P61" i="6"/>
  <c r="U61" i="6" s="1"/>
  <c r="P90" i="6"/>
  <c r="I113" i="6"/>
  <c r="I99" i="5"/>
  <c r="I85" i="5" s="1"/>
  <c r="I84" i="5" s="1"/>
  <c r="Q85" i="5"/>
  <c r="Q137" i="5"/>
  <c r="F9" i="1"/>
  <c r="F8" i="1" s="1"/>
  <c r="G150" i="1"/>
  <c r="I113" i="1"/>
  <c r="G35" i="2"/>
  <c r="G49" i="2"/>
  <c r="G62" i="2"/>
  <c r="G8" i="3"/>
  <c r="G122" i="3" s="1"/>
  <c r="G123" i="3" s="1"/>
  <c r="G155" i="3" s="1"/>
  <c r="F150" i="3"/>
  <c r="I93" i="3"/>
  <c r="I90" i="3" s="1"/>
  <c r="P27" i="5"/>
  <c r="G85" i="5"/>
  <c r="G84" i="5" s="1"/>
  <c r="G27" i="6"/>
  <c r="W39" i="6"/>
  <c r="I27" i="5"/>
  <c r="Q89" i="5"/>
  <c r="G8" i="1"/>
  <c r="G122" i="1" s="1"/>
  <c r="G20" i="2"/>
  <c r="G19" i="2" s="1"/>
  <c r="G150" i="3"/>
  <c r="O39" i="3"/>
  <c r="O93" i="3"/>
  <c r="O90" i="3" s="1"/>
  <c r="X49" i="6"/>
  <c r="N45" i="6"/>
  <c r="O99" i="5"/>
  <c r="G32" i="2"/>
  <c r="Z86" i="6"/>
  <c r="Z16" i="6"/>
  <c r="K122" i="6"/>
  <c r="K125" i="6" s="1"/>
  <c r="K129" i="6" s="1"/>
  <c r="I51" i="1"/>
  <c r="I49" i="1" s="1"/>
  <c r="I45" i="1" s="1"/>
  <c r="G23" i="2"/>
  <c r="G30" i="2"/>
  <c r="G38" i="2"/>
  <c r="W93" i="3"/>
  <c r="O15" i="4"/>
  <c r="O39" i="5"/>
  <c r="F9" i="6"/>
  <c r="F8" i="6" s="1"/>
  <c r="Q17" i="6"/>
  <c r="I99" i="3"/>
  <c r="M8" i="4"/>
  <c r="O9" i="4"/>
  <c r="I110" i="6"/>
  <c r="I99" i="6" s="1"/>
  <c r="I85" i="6" s="1"/>
  <c r="I84" i="6" s="1"/>
  <c r="O15" i="1"/>
  <c r="J85" i="1"/>
  <c r="J84" i="1" s="1"/>
  <c r="G22" i="2"/>
  <c r="G37" i="2"/>
  <c r="T89" i="2"/>
  <c r="O15" i="3"/>
  <c r="I90" i="4"/>
  <c r="W15" i="5"/>
  <c r="G8" i="6"/>
  <c r="G122" i="6" s="1"/>
  <c r="S185" i="4"/>
  <c r="F23" i="46"/>
  <c r="G11" i="46"/>
  <c r="S90" i="5"/>
  <c r="T93" i="5"/>
  <c r="T90" i="5" s="1"/>
  <c r="W17" i="6"/>
  <c r="AB136" i="6"/>
  <c r="AB20" i="6"/>
  <c r="AB16" i="6" s="1"/>
  <c r="AB135" i="6"/>
  <c r="AB82" i="6"/>
  <c r="W82" i="6" s="1"/>
  <c r="W104" i="3"/>
  <c r="W99" i="3" s="1"/>
  <c r="AB99" i="3"/>
  <c r="T89" i="6"/>
  <c r="T137" i="6"/>
  <c r="S29" i="6"/>
  <c r="T29" i="6" s="1"/>
  <c r="T27" i="6" s="1"/>
  <c r="R27" i="6"/>
  <c r="T55" i="4"/>
  <c r="S49" i="4"/>
  <c r="O86" i="6"/>
  <c r="R137" i="6"/>
  <c r="R89" i="6"/>
  <c r="W116" i="6"/>
  <c r="AB113" i="6"/>
  <c r="W113" i="6" s="1"/>
  <c r="Q124" i="2"/>
  <c r="Q128" i="2" s="1"/>
  <c r="AB89" i="6"/>
  <c r="R16" i="1"/>
  <c r="Q27" i="6"/>
  <c r="F151" i="1"/>
  <c r="F150" i="1" s="1"/>
  <c r="F85" i="1"/>
  <c r="F84" i="1" s="1"/>
  <c r="F122" i="1" s="1"/>
  <c r="O89" i="6"/>
  <c r="O115" i="4"/>
  <c r="F151" i="6"/>
  <c r="F150" i="6" s="1"/>
  <c r="F85" i="6"/>
  <c r="G42" i="2"/>
  <c r="Q9" i="4"/>
  <c r="I16" i="4"/>
  <c r="I51" i="4"/>
  <c r="I49" i="4" s="1"/>
  <c r="G85" i="4"/>
  <c r="G84" i="4" s="1"/>
  <c r="G122" i="4" s="1"/>
  <c r="I113" i="4"/>
  <c r="G8" i="5"/>
  <c r="G122" i="5" s="1"/>
  <c r="G123" i="5" s="1"/>
  <c r="G155" i="5" s="1"/>
  <c r="X61" i="6"/>
  <c r="J90" i="6"/>
  <c r="J85" i="6" s="1"/>
  <c r="G25" i="46"/>
  <c r="G23" i="46"/>
  <c r="G61" i="2"/>
  <c r="F98" i="2"/>
  <c r="F86" i="2" s="1"/>
  <c r="F85" i="2" s="1"/>
  <c r="F121" i="2" s="1"/>
  <c r="F9" i="3"/>
  <c r="F8" i="3" s="1"/>
  <c r="F122" i="3" s="1"/>
  <c r="I16" i="3"/>
  <c r="U30" i="3"/>
  <c r="J49" i="3"/>
  <c r="J45" i="3" s="1"/>
  <c r="J8" i="3" s="1"/>
  <c r="J122" i="3" s="1"/>
  <c r="J125" i="3" s="1"/>
  <c r="J129" i="3" s="1"/>
  <c r="I61" i="3"/>
  <c r="I45" i="3" s="1"/>
  <c r="Q17" i="4"/>
  <c r="U70" i="4"/>
  <c r="U39" i="5"/>
  <c r="X9" i="6"/>
  <c r="I45" i="6"/>
  <c r="P99" i="6"/>
  <c r="P85" i="6" s="1"/>
  <c r="F149" i="1"/>
  <c r="G33" i="2"/>
  <c r="G28" i="2" s="1"/>
  <c r="G40" i="2"/>
  <c r="G44" i="2"/>
  <c r="X45" i="3"/>
  <c r="X86" i="3"/>
  <c r="F99" i="4"/>
  <c r="F85" i="4" s="1"/>
  <c r="F84" i="4" s="1"/>
  <c r="F122" i="4" s="1"/>
  <c r="F123" i="4" s="1"/>
  <c r="F155" i="4" s="1"/>
  <c r="J49" i="1"/>
  <c r="J45" i="1" s="1"/>
  <c r="P61" i="1"/>
  <c r="U61" i="1" s="1"/>
  <c r="U86" i="1"/>
  <c r="G149" i="1"/>
  <c r="G13" i="2"/>
  <c r="G34" i="2"/>
  <c r="G41" i="2"/>
  <c r="G45" i="2"/>
  <c r="G59" i="2"/>
  <c r="G46" i="2" s="1"/>
  <c r="I9" i="3"/>
  <c r="U27" i="3"/>
  <c r="U29" i="3"/>
  <c r="P61" i="3"/>
  <c r="U61" i="3" s="1"/>
  <c r="O15" i="5"/>
  <c r="U29" i="5"/>
  <c r="X45" i="5"/>
  <c r="I51" i="5"/>
  <c r="I49" i="5" s="1"/>
  <c r="I45" i="5" s="1"/>
  <c r="I8" i="5" s="1"/>
  <c r="I122" i="5" s="1"/>
  <c r="P61" i="5"/>
  <c r="U61" i="5" s="1"/>
  <c r="U62" i="5"/>
  <c r="X86" i="5"/>
  <c r="I9" i="6"/>
  <c r="P27" i="6"/>
  <c r="F25" i="46"/>
  <c r="F11" i="46"/>
  <c r="T187" i="4"/>
  <c r="T190" i="4" s="1"/>
  <c r="N122" i="5"/>
  <c r="N125" i="5" s="1"/>
  <c r="N129" i="5" s="1"/>
  <c r="W104" i="5"/>
  <c r="S47" i="3"/>
  <c r="T47" i="3" s="1"/>
  <c r="AB116" i="3"/>
  <c r="AB113" i="3" s="1"/>
  <c r="AA113" i="3"/>
  <c r="S113" i="3"/>
  <c r="O113" i="3" s="1"/>
  <c r="T116" i="3"/>
  <c r="T113" i="3" s="1"/>
  <c r="O116" i="3"/>
  <c r="T55" i="1"/>
  <c r="O55" i="1" s="1"/>
  <c r="G123" i="1"/>
  <c r="G155" i="1" s="1"/>
  <c r="G148" i="1"/>
  <c r="S12" i="1"/>
  <c r="R9" i="1"/>
  <c r="S28" i="1"/>
  <c r="L27" i="1"/>
  <c r="L8" i="1" s="1"/>
  <c r="L122" i="1" s="1"/>
  <c r="L125" i="1" s="1"/>
  <c r="M31" i="1"/>
  <c r="T32" i="1"/>
  <c r="O32" i="1" s="1"/>
  <c r="S33" i="1"/>
  <c r="T33" i="1" s="1"/>
  <c r="S35" i="1"/>
  <c r="T35" i="1" s="1"/>
  <c r="T48" i="1"/>
  <c r="O48" i="1"/>
  <c r="S53" i="1"/>
  <c r="T53" i="1" s="1"/>
  <c r="S57" i="1"/>
  <c r="T57" i="1" s="1"/>
  <c r="S60" i="1"/>
  <c r="R87" i="1"/>
  <c r="Q86" i="1"/>
  <c r="Q93" i="1"/>
  <c r="P90" i="1"/>
  <c r="L99" i="1"/>
  <c r="L85" i="1" s="1"/>
  <c r="L84" i="1" s="1"/>
  <c r="M110" i="1"/>
  <c r="R115" i="1"/>
  <c r="R116" i="1"/>
  <c r="S116" i="1" s="1"/>
  <c r="T116" i="1" s="1"/>
  <c r="G148" i="3"/>
  <c r="S10" i="3"/>
  <c r="R9" i="3"/>
  <c r="Z10" i="3"/>
  <c r="Y9" i="3"/>
  <c r="R17" i="3"/>
  <c r="S18" i="3"/>
  <c r="S28" i="3"/>
  <c r="AA28" i="3"/>
  <c r="R29" i="3"/>
  <c r="S29" i="3" s="1"/>
  <c r="T29" i="3" s="1"/>
  <c r="Q27" i="3"/>
  <c r="Y27" i="3"/>
  <c r="Z29" i="3"/>
  <c r="Z27" i="3" s="1"/>
  <c r="L27" i="3"/>
  <c r="L8" i="3" s="1"/>
  <c r="L122" i="3" s="1"/>
  <c r="L125" i="3" s="1"/>
  <c r="L129" i="3" s="1"/>
  <c r="M31" i="3"/>
  <c r="S38" i="3"/>
  <c r="O38" i="3" s="1"/>
  <c r="W10" i="6"/>
  <c r="W9" i="6" s="1"/>
  <c r="S17" i="1"/>
  <c r="W17" i="5"/>
  <c r="AA96" i="3"/>
  <c r="AA96" i="5"/>
  <c r="T47" i="5"/>
  <c r="O47" i="5" s="1"/>
  <c r="T46" i="5"/>
  <c r="S96" i="6"/>
  <c r="X96" i="6"/>
  <c r="T82" i="6"/>
  <c r="T61" i="6" s="1"/>
  <c r="T116" i="5"/>
  <c r="O116" i="5"/>
  <c r="T46" i="4"/>
  <c r="S46" i="3"/>
  <c r="AA113" i="5"/>
  <c r="AB116" i="5"/>
  <c r="AB113" i="5" s="1"/>
  <c r="O55" i="4"/>
  <c r="O49" i="4" s="1"/>
  <c r="T49" i="4"/>
  <c r="O52" i="3"/>
  <c r="O17" i="4"/>
  <c r="T136" i="4"/>
  <c r="T20" i="4"/>
  <c r="U20" i="1"/>
  <c r="P16" i="1"/>
  <c r="S31" i="1"/>
  <c r="T31" i="1" s="1"/>
  <c r="O31" i="1"/>
  <c r="S34" i="1"/>
  <c r="T34" i="1" s="1"/>
  <c r="S51" i="1"/>
  <c r="R49" i="1"/>
  <c r="S52" i="1"/>
  <c r="T52" i="1" s="1"/>
  <c r="S54" i="1"/>
  <c r="T54" i="1" s="1"/>
  <c r="S82" i="1"/>
  <c r="T82" i="1" s="1"/>
  <c r="S96" i="1"/>
  <c r="T96" i="1" s="1"/>
  <c r="S103" i="1"/>
  <c r="S104" i="1"/>
  <c r="T104" i="1" s="1"/>
  <c r="S105" i="1"/>
  <c r="T105" i="1" s="1"/>
  <c r="R107" i="1"/>
  <c r="S107" i="1" s="1"/>
  <c r="T107" i="1" s="1"/>
  <c r="Q99" i="1"/>
  <c r="R110" i="1"/>
  <c r="S110" i="1" s="1"/>
  <c r="T110" i="1" s="1"/>
  <c r="S111" i="1"/>
  <c r="T111" i="1" s="1"/>
  <c r="Q117" i="1"/>
  <c r="R117" i="1" s="1"/>
  <c r="S117" i="1" s="1"/>
  <c r="T117" i="1" s="1"/>
  <c r="P113" i="1"/>
  <c r="E86" i="2"/>
  <c r="E85" i="2" s="1"/>
  <c r="E121" i="2" s="1"/>
  <c r="E150" i="2"/>
  <c r="E149" i="2" s="1"/>
  <c r="O12" i="3"/>
  <c r="S12" i="3"/>
  <c r="T12" i="3" s="1"/>
  <c r="Z12" i="3"/>
  <c r="AA12" i="3" s="1"/>
  <c r="AB12" i="3" s="1"/>
  <c r="F123" i="3"/>
  <c r="F155" i="3" s="1"/>
  <c r="F148" i="3"/>
  <c r="U20" i="3"/>
  <c r="P16" i="3"/>
  <c r="AA18" i="3"/>
  <c r="Z17" i="3"/>
  <c r="S31" i="3"/>
  <c r="T31" i="3" s="1"/>
  <c r="AA31" i="3"/>
  <c r="AB31" i="3" s="1"/>
  <c r="S32" i="3"/>
  <c r="T32" i="3" s="1"/>
  <c r="AA32" i="3"/>
  <c r="AB32" i="3" s="1"/>
  <c r="S33" i="3"/>
  <c r="T33" i="3" s="1"/>
  <c r="AA33" i="3"/>
  <c r="AB33" i="3" s="1"/>
  <c r="S34" i="3"/>
  <c r="T34" i="3" s="1"/>
  <c r="AA34" i="3"/>
  <c r="AB34" i="3" s="1"/>
  <c r="S35" i="3"/>
  <c r="T35" i="3" s="1"/>
  <c r="AA35" i="3"/>
  <c r="AB35" i="3" s="1"/>
  <c r="R62" i="3"/>
  <c r="Q61" i="3"/>
  <c r="Z10" i="5"/>
  <c r="Y9" i="5"/>
  <c r="Q27" i="5"/>
  <c r="R29" i="5"/>
  <c r="W20" i="6"/>
  <c r="W16" i="6" s="1"/>
  <c r="O46" i="4"/>
  <c r="O47" i="1"/>
  <c r="Q62" i="1"/>
  <c r="Q70" i="1"/>
  <c r="R70" i="1" s="1"/>
  <c r="S70" i="1" s="1"/>
  <c r="T70" i="1" s="1"/>
  <c r="K98" i="2"/>
  <c r="G112" i="2"/>
  <c r="G85" i="2" s="1"/>
  <c r="X9" i="3"/>
  <c r="U17" i="3"/>
  <c r="K27" i="3"/>
  <c r="K8" i="3" s="1"/>
  <c r="K122" i="3" s="1"/>
  <c r="K125" i="3" s="1"/>
  <c r="X27" i="3"/>
  <c r="W38" i="3"/>
  <c r="Y46" i="3"/>
  <c r="I45" i="4"/>
  <c r="I8" i="4" s="1"/>
  <c r="Z62" i="3"/>
  <c r="Y61" i="3"/>
  <c r="P89" i="4"/>
  <c r="U86" i="4"/>
  <c r="P137" i="4"/>
  <c r="R47" i="4"/>
  <c r="O38" i="1"/>
  <c r="J137" i="1"/>
  <c r="R62" i="5"/>
  <c r="Q61" i="5"/>
  <c r="Q45" i="5" s="1"/>
  <c r="Z62" i="5"/>
  <c r="Y61" i="5"/>
  <c r="S18" i="6"/>
  <c r="R17" i="6"/>
  <c r="R55" i="6"/>
  <c r="Q49" i="6"/>
  <c r="U62" i="3"/>
  <c r="U70" i="3"/>
  <c r="Q87" i="4"/>
  <c r="R10" i="5"/>
  <c r="U27" i="5"/>
  <c r="G149" i="5"/>
  <c r="Y27" i="6"/>
  <c r="Z29" i="6"/>
  <c r="M31" i="6"/>
  <c r="L27" i="6"/>
  <c r="Y49" i="6"/>
  <c r="Y45" i="6" s="1"/>
  <c r="Z55" i="6"/>
  <c r="S104" i="6"/>
  <c r="R99" i="6"/>
  <c r="R85" i="6" s="1"/>
  <c r="P86" i="3"/>
  <c r="J49" i="4"/>
  <c r="J45" i="4" s="1"/>
  <c r="U45" i="4" s="1"/>
  <c r="J90" i="4"/>
  <c r="J85" i="4" s="1"/>
  <c r="U17" i="5"/>
  <c r="K27" i="5"/>
  <c r="K8" i="5" s="1"/>
  <c r="X27" i="5"/>
  <c r="X8" i="5" s="1"/>
  <c r="W38" i="5"/>
  <c r="Y46" i="5"/>
  <c r="J49" i="5"/>
  <c r="J45" i="5" s="1"/>
  <c r="F149" i="5"/>
  <c r="F148" i="5" s="1"/>
  <c r="F158" i="5" s="1"/>
  <c r="F157" i="5" s="1"/>
  <c r="L8" i="6"/>
  <c r="L122" i="6" s="1"/>
  <c r="L125" i="6" s="1"/>
  <c r="L129" i="6" s="1"/>
  <c r="U70" i="5"/>
  <c r="P86" i="5"/>
  <c r="Q20" i="6"/>
  <c r="Q16" i="6" s="1"/>
  <c r="U46" i="6"/>
  <c r="Q47" i="6"/>
  <c r="U70" i="6"/>
  <c r="O38" i="6"/>
  <c r="F148" i="1" l="1"/>
  <c r="F158" i="1" s="1"/>
  <c r="F157" i="1" s="1"/>
  <c r="F123" i="1"/>
  <c r="F155" i="1" s="1"/>
  <c r="G123" i="6"/>
  <c r="G155" i="6" s="1"/>
  <c r="G148" i="6"/>
  <c r="G158" i="6" s="1"/>
  <c r="G157" i="6" s="1"/>
  <c r="T85" i="3"/>
  <c r="T84" i="3" s="1"/>
  <c r="R117" i="4"/>
  <c r="Q113" i="4"/>
  <c r="P45" i="5"/>
  <c r="P8" i="5" s="1"/>
  <c r="G148" i="5"/>
  <c r="G158" i="5" s="1"/>
  <c r="G157" i="5" s="1"/>
  <c r="P45" i="3"/>
  <c r="U45" i="3" s="1"/>
  <c r="P84" i="6"/>
  <c r="V86" i="1"/>
  <c r="P137" i="1"/>
  <c r="P89" i="1"/>
  <c r="U89" i="1" s="1"/>
  <c r="P135" i="1"/>
  <c r="Q136" i="5"/>
  <c r="Q20" i="5"/>
  <c r="AA103" i="5"/>
  <c r="Z99" i="5"/>
  <c r="Q113" i="6"/>
  <c r="Q84" i="6" s="1"/>
  <c r="R116" i="6"/>
  <c r="I11" i="2"/>
  <c r="AA28" i="5"/>
  <c r="Z27" i="5"/>
  <c r="O107" i="1"/>
  <c r="P45" i="6"/>
  <c r="U45" i="6" s="1"/>
  <c r="Z135" i="6"/>
  <c r="Z137" i="6"/>
  <c r="Z89" i="6"/>
  <c r="R17" i="5"/>
  <c r="S18" i="5"/>
  <c r="S29" i="4"/>
  <c r="R27" i="4"/>
  <c r="I89" i="2"/>
  <c r="H86" i="2"/>
  <c r="S10" i="6"/>
  <c r="R9" i="6"/>
  <c r="Y137" i="5"/>
  <c r="Y89" i="5"/>
  <c r="Y85" i="5" s="1"/>
  <c r="Y84" i="5" s="1"/>
  <c r="Y135" i="5"/>
  <c r="X8" i="6"/>
  <c r="X45" i="6"/>
  <c r="F84" i="6"/>
  <c r="F122" i="6" s="1"/>
  <c r="O60" i="5"/>
  <c r="AA110" i="6"/>
  <c r="Z99" i="6"/>
  <c r="N121" i="2"/>
  <c r="O85" i="2"/>
  <c r="O35" i="6"/>
  <c r="AA87" i="5"/>
  <c r="Z86" i="5"/>
  <c r="R99" i="3"/>
  <c r="R85" i="3" s="1"/>
  <c r="R84" i="3" s="1"/>
  <c r="K11" i="2"/>
  <c r="L11" i="2" s="1"/>
  <c r="S103" i="4"/>
  <c r="R99" i="4"/>
  <c r="K122" i="5"/>
  <c r="K125" i="5" s="1"/>
  <c r="K129" i="5" s="1"/>
  <c r="T86" i="2"/>
  <c r="U89" i="2"/>
  <c r="I85" i="3"/>
  <c r="I84" i="3" s="1"/>
  <c r="AA136" i="5"/>
  <c r="AA20" i="5"/>
  <c r="W20" i="5" s="1"/>
  <c r="W16" i="5" s="1"/>
  <c r="R55" i="3"/>
  <c r="Q49" i="3"/>
  <c r="Q45" i="3" s="1"/>
  <c r="Q8" i="3" s="1"/>
  <c r="Q122" i="3" s="1"/>
  <c r="Q125" i="3" s="1"/>
  <c r="Q129" i="3" s="1"/>
  <c r="T103" i="3"/>
  <c r="T99" i="3" s="1"/>
  <c r="S99" i="3"/>
  <c r="S85" i="3" s="1"/>
  <c r="W89" i="6"/>
  <c r="Q84" i="5"/>
  <c r="G12" i="2"/>
  <c r="G11" i="2" s="1"/>
  <c r="G121" i="2" s="1"/>
  <c r="S27" i="6"/>
  <c r="AB136" i="5"/>
  <c r="AB20" i="5"/>
  <c r="AB16" i="5" s="1"/>
  <c r="W59" i="6"/>
  <c r="R62" i="4"/>
  <c r="Q61" i="4"/>
  <c r="Q45" i="4" s="1"/>
  <c r="AA137" i="6"/>
  <c r="AA89" i="6"/>
  <c r="AA135" i="6"/>
  <c r="W113" i="5"/>
  <c r="O29" i="6"/>
  <c r="O104" i="1"/>
  <c r="P85" i="1"/>
  <c r="P84" i="1" s="1"/>
  <c r="U84" i="1" s="1"/>
  <c r="AA16" i="5"/>
  <c r="Q135" i="5"/>
  <c r="S52" i="5"/>
  <c r="R49" i="5"/>
  <c r="N110" i="4"/>
  <c r="M99" i="4"/>
  <c r="M85" i="4" s="1"/>
  <c r="M84" i="4" s="1"/>
  <c r="M122" i="4" s="1"/>
  <c r="M125" i="4" s="1"/>
  <c r="M129" i="4" s="1"/>
  <c r="R137" i="5"/>
  <c r="R89" i="5"/>
  <c r="R85" i="5" s="1"/>
  <c r="AB51" i="3"/>
  <c r="AA49" i="3"/>
  <c r="O33" i="5"/>
  <c r="W86" i="6"/>
  <c r="AB137" i="6"/>
  <c r="AA62" i="6"/>
  <c r="Z61" i="6"/>
  <c r="AA93" i="3"/>
  <c r="AB93" i="3" s="1"/>
  <c r="Z90" i="3"/>
  <c r="Z85" i="3" s="1"/>
  <c r="Z84" i="3" s="1"/>
  <c r="G158" i="1"/>
  <c r="G157" i="1" s="1"/>
  <c r="Q136" i="6"/>
  <c r="Q135" i="6"/>
  <c r="W48" i="5"/>
  <c r="S86" i="5"/>
  <c r="T87" i="5"/>
  <c r="T86" i="5" s="1"/>
  <c r="R117" i="5"/>
  <c r="Q113" i="5"/>
  <c r="O31" i="6"/>
  <c r="O27" i="6" s="1"/>
  <c r="F147" i="2"/>
  <c r="F122" i="2"/>
  <c r="F154" i="2" s="1"/>
  <c r="F157" i="2" s="1"/>
  <c r="F156" i="2" s="1"/>
  <c r="X85" i="3"/>
  <c r="X84" i="3" s="1"/>
  <c r="G148" i="4"/>
  <c r="G123" i="4"/>
  <c r="G155" i="4" s="1"/>
  <c r="Y8" i="6"/>
  <c r="O105" i="1"/>
  <c r="O34" i="1"/>
  <c r="O35" i="1"/>
  <c r="F148" i="4"/>
  <c r="F158" i="4" s="1"/>
  <c r="F157" i="4" s="1"/>
  <c r="P45" i="1"/>
  <c r="P8" i="1" s="1"/>
  <c r="Q136" i="4"/>
  <c r="Q20" i="4"/>
  <c r="Q16" i="4" s="1"/>
  <c r="J84" i="6"/>
  <c r="U85" i="6"/>
  <c r="O116" i="1"/>
  <c r="U27" i="6"/>
  <c r="P8" i="6"/>
  <c r="P122" i="6" s="1"/>
  <c r="P125" i="6" s="1"/>
  <c r="U45" i="5"/>
  <c r="O82" i="1"/>
  <c r="G158" i="3"/>
  <c r="G157" i="3" s="1"/>
  <c r="O57" i="1"/>
  <c r="O47" i="3"/>
  <c r="X89" i="5"/>
  <c r="X85" i="5" s="1"/>
  <c r="X84" i="5" s="1"/>
  <c r="X122" i="5" s="1"/>
  <c r="X125" i="5" s="1"/>
  <c r="X129" i="5" s="1"/>
  <c r="X137" i="5"/>
  <c r="X135" i="5"/>
  <c r="J8" i="1"/>
  <c r="J122" i="1" s="1"/>
  <c r="J125" i="1" s="1"/>
  <c r="J129" i="1" s="1"/>
  <c r="X137" i="3"/>
  <c r="W86" i="3"/>
  <c r="X89" i="3"/>
  <c r="W89" i="3" s="1"/>
  <c r="X135" i="3"/>
  <c r="E147" i="2"/>
  <c r="E122" i="2"/>
  <c r="E154" i="2" s="1"/>
  <c r="P137" i="5"/>
  <c r="U86" i="5"/>
  <c r="P89" i="5"/>
  <c r="P85" i="5" s="1"/>
  <c r="V86" i="5"/>
  <c r="Z46" i="5"/>
  <c r="Y45" i="5"/>
  <c r="Y8" i="5" s="1"/>
  <c r="Y122" i="5" s="1"/>
  <c r="Y125" i="5" s="1"/>
  <c r="Y129" i="5" s="1"/>
  <c r="Y130" i="5" s="1"/>
  <c r="AA55" i="6"/>
  <c r="Z49" i="6"/>
  <c r="Z27" i="6"/>
  <c r="AA29" i="6"/>
  <c r="R87" i="4"/>
  <c r="Q86" i="4"/>
  <c r="R136" i="6"/>
  <c r="R20" i="6"/>
  <c r="R16" i="6" s="1"/>
  <c r="R135" i="6"/>
  <c r="U89" i="4"/>
  <c r="P85" i="4"/>
  <c r="P84" i="4" s="1"/>
  <c r="P122" i="4" s="1"/>
  <c r="P125" i="4" s="1"/>
  <c r="Z61" i="3"/>
  <c r="AA62" i="3"/>
  <c r="Z46" i="3"/>
  <c r="Y45" i="3"/>
  <c r="Y8" i="3" s="1"/>
  <c r="Y122" i="3" s="1"/>
  <c r="Y125" i="3" s="1"/>
  <c r="Y129" i="3" s="1"/>
  <c r="R27" i="5"/>
  <c r="S29" i="5"/>
  <c r="Z135" i="3"/>
  <c r="Z136" i="3"/>
  <c r="Z20" i="3"/>
  <c r="Z16" i="3" s="1"/>
  <c r="P8" i="3"/>
  <c r="U16" i="3"/>
  <c r="T51" i="1"/>
  <c r="S49" i="1"/>
  <c r="T46" i="3"/>
  <c r="T96" i="6"/>
  <c r="T90" i="6" s="1"/>
  <c r="S90" i="6"/>
  <c r="AB96" i="3"/>
  <c r="S136" i="1"/>
  <c r="O17" i="1"/>
  <c r="S20" i="1"/>
  <c r="O20" i="1" s="1"/>
  <c r="AB28" i="3"/>
  <c r="T18" i="3"/>
  <c r="T17" i="3" s="1"/>
  <c r="S17" i="3"/>
  <c r="O17" i="3" s="1"/>
  <c r="T10" i="3"/>
  <c r="S9" i="3"/>
  <c r="N110" i="1"/>
  <c r="M99" i="1"/>
  <c r="M85" i="1" s="1"/>
  <c r="M84" i="1" s="1"/>
  <c r="Q90" i="1"/>
  <c r="R93" i="1"/>
  <c r="S87" i="1"/>
  <c r="R86" i="1"/>
  <c r="M27" i="1"/>
  <c r="M8" i="1" s="1"/>
  <c r="N31" i="1"/>
  <c r="S9" i="1"/>
  <c r="T12" i="1"/>
  <c r="P135" i="5"/>
  <c r="J8" i="5"/>
  <c r="J122" i="5" s="1"/>
  <c r="J125" i="5" s="1"/>
  <c r="X8" i="3"/>
  <c r="W35" i="3"/>
  <c r="O35" i="3"/>
  <c r="W34" i="3"/>
  <c r="O34" i="3"/>
  <c r="W33" i="3"/>
  <c r="O33" i="3"/>
  <c r="W32" i="3"/>
  <c r="O32" i="3"/>
  <c r="W31" i="3"/>
  <c r="O31" i="3"/>
  <c r="F158" i="3"/>
  <c r="F157" i="3" s="1"/>
  <c r="W12" i="3"/>
  <c r="O111" i="1"/>
  <c r="O110" i="1"/>
  <c r="R99" i="1"/>
  <c r="O96" i="1"/>
  <c r="O90" i="1" s="1"/>
  <c r="O54" i="1"/>
  <c r="O52" i="1"/>
  <c r="T16" i="4"/>
  <c r="W116" i="5"/>
  <c r="O82" i="6"/>
  <c r="O29" i="3"/>
  <c r="O53" i="1"/>
  <c r="O33" i="1"/>
  <c r="W113" i="3"/>
  <c r="W116" i="3"/>
  <c r="G158" i="4"/>
  <c r="G157" i="4" s="1"/>
  <c r="R47" i="6"/>
  <c r="Q45" i="6"/>
  <c r="Q8" i="6" s="1"/>
  <c r="U85" i="4"/>
  <c r="J84" i="4"/>
  <c r="U84" i="4" s="1"/>
  <c r="P89" i="3"/>
  <c r="P137" i="3"/>
  <c r="V86" i="3"/>
  <c r="P135" i="3"/>
  <c r="P85" i="3"/>
  <c r="U86" i="3"/>
  <c r="O86" i="3"/>
  <c r="S99" i="6"/>
  <c r="T104" i="6"/>
  <c r="T99" i="6" s="1"/>
  <c r="M27" i="6"/>
  <c r="M8" i="6" s="1"/>
  <c r="M122" i="6" s="1"/>
  <c r="M125" i="6" s="1"/>
  <c r="M129" i="6" s="1"/>
  <c r="N31" i="6"/>
  <c r="N27" i="6" s="1"/>
  <c r="N8" i="6" s="1"/>
  <c r="N122" i="6" s="1"/>
  <c r="N125" i="6" s="1"/>
  <c r="N129" i="6" s="1"/>
  <c r="S10" i="5"/>
  <c r="R9" i="5"/>
  <c r="S55" i="6"/>
  <c r="R49" i="6"/>
  <c r="T18" i="6"/>
  <c r="T17" i="6" s="1"/>
  <c r="S17" i="6"/>
  <c r="Z61" i="5"/>
  <c r="AA62" i="5"/>
  <c r="S62" i="5"/>
  <c r="R61" i="5"/>
  <c r="R45" i="5" s="1"/>
  <c r="S47" i="4"/>
  <c r="K129" i="3"/>
  <c r="L98" i="2"/>
  <c r="K86" i="2"/>
  <c r="R62" i="1"/>
  <c r="Q61" i="1"/>
  <c r="Q45" i="1" s="1"/>
  <c r="Q8" i="1" s="1"/>
  <c r="Z9" i="5"/>
  <c r="AA10" i="5"/>
  <c r="R61" i="3"/>
  <c r="S62" i="3"/>
  <c r="AB18" i="3"/>
  <c r="AB17" i="3" s="1"/>
  <c r="AA17" i="3"/>
  <c r="S99" i="1"/>
  <c r="T103" i="1"/>
  <c r="U16" i="1"/>
  <c r="Y96" i="6"/>
  <c r="X90" i="6"/>
  <c r="X85" i="6" s="1"/>
  <c r="X84" i="6" s="1"/>
  <c r="X122" i="6" s="1"/>
  <c r="X125" i="6" s="1"/>
  <c r="X129" i="6" s="1"/>
  <c r="AB96" i="5"/>
  <c r="AB90" i="5" s="1"/>
  <c r="AA90" i="5"/>
  <c r="M27" i="3"/>
  <c r="M8" i="3" s="1"/>
  <c r="M122" i="3" s="1"/>
  <c r="M125" i="3" s="1"/>
  <c r="M129" i="3" s="1"/>
  <c r="N31" i="3"/>
  <c r="N27" i="3" s="1"/>
  <c r="N8" i="3" s="1"/>
  <c r="N122" i="3" s="1"/>
  <c r="N125" i="3" s="1"/>
  <c r="N129" i="3" s="1"/>
  <c r="AA29" i="3"/>
  <c r="AB29" i="3" s="1"/>
  <c r="W29" i="3"/>
  <c r="T28" i="3"/>
  <c r="T27" i="3" s="1"/>
  <c r="S27" i="3"/>
  <c r="R136" i="3"/>
  <c r="R20" i="3"/>
  <c r="R16" i="3" s="1"/>
  <c r="R135" i="3"/>
  <c r="AA10" i="3"/>
  <c r="Z9" i="3"/>
  <c r="S115" i="1"/>
  <c r="R113" i="1"/>
  <c r="Q137" i="1"/>
  <c r="Q89" i="1"/>
  <c r="Q85" i="1" s="1"/>
  <c r="Q135" i="1"/>
  <c r="T60" i="1"/>
  <c r="O60" i="1" s="1"/>
  <c r="L129" i="1"/>
  <c r="T28" i="1"/>
  <c r="T27" i="1" s="1"/>
  <c r="S27" i="1"/>
  <c r="J8" i="4"/>
  <c r="J122" i="4" s="1"/>
  <c r="J125" i="4" s="1"/>
  <c r="O46" i="5"/>
  <c r="R27" i="3"/>
  <c r="Q113" i="1"/>
  <c r="S84" i="3"/>
  <c r="X184" i="5" l="1"/>
  <c r="X130" i="5"/>
  <c r="F123" i="6"/>
  <c r="F155" i="6" s="1"/>
  <c r="F148" i="6"/>
  <c r="T29" i="4"/>
  <c r="T27" i="4" s="1"/>
  <c r="S27" i="4"/>
  <c r="O29" i="4"/>
  <c r="O27" i="4" s="1"/>
  <c r="U45" i="1"/>
  <c r="N99" i="4"/>
  <c r="N85" i="4" s="1"/>
  <c r="N84" i="4" s="1"/>
  <c r="N122" i="4" s="1"/>
  <c r="N125" i="4" s="1"/>
  <c r="N129" i="4" s="1"/>
  <c r="I110" i="4"/>
  <c r="I99" i="4" s="1"/>
  <c r="I85" i="4" s="1"/>
  <c r="I84" i="4" s="1"/>
  <c r="I122" i="4" s="1"/>
  <c r="Z135" i="5"/>
  <c r="Z89" i="5"/>
  <c r="Z137" i="5"/>
  <c r="Z85" i="5"/>
  <c r="Z84" i="5" s="1"/>
  <c r="T18" i="5"/>
  <c r="T17" i="5" s="1"/>
  <c r="S17" i="5"/>
  <c r="O17" i="5" s="1"/>
  <c r="AB103" i="5"/>
  <c r="AA99" i="5"/>
  <c r="O103" i="3"/>
  <c r="O99" i="3" s="1"/>
  <c r="S135" i="5"/>
  <c r="S89" i="5"/>
  <c r="S137" i="5"/>
  <c r="AB62" i="6"/>
  <c r="AB61" i="6" s="1"/>
  <c r="AA61" i="6"/>
  <c r="Q122" i="6"/>
  <c r="Q125" i="6" s="1"/>
  <c r="Q129" i="6" s="1"/>
  <c r="AA90" i="3"/>
  <c r="AA85" i="3" s="1"/>
  <c r="AA84" i="3" s="1"/>
  <c r="O86" i="5"/>
  <c r="AB87" i="5"/>
  <c r="AB86" i="5" s="1"/>
  <c r="AA86" i="5"/>
  <c r="R16" i="5"/>
  <c r="R8" i="5" s="1"/>
  <c r="R136" i="5"/>
  <c r="R135" i="5"/>
  <c r="R20" i="5"/>
  <c r="Q16" i="5"/>
  <c r="Q8" i="5" s="1"/>
  <c r="Q122" i="5" s="1"/>
  <c r="Q125" i="5" s="1"/>
  <c r="Q129" i="5" s="1"/>
  <c r="T89" i="5"/>
  <c r="T85" i="5" s="1"/>
  <c r="T137" i="5"/>
  <c r="T52" i="5"/>
  <c r="T49" i="5" s="1"/>
  <c r="S49" i="5"/>
  <c r="O52" i="5"/>
  <c r="O49" i="5" s="1"/>
  <c r="U86" i="2"/>
  <c r="T85" i="2"/>
  <c r="AA27" i="5"/>
  <c r="AB28" i="5"/>
  <c r="AB110" i="6"/>
  <c r="AB99" i="6" s="1"/>
  <c r="AA99" i="6"/>
  <c r="S9" i="6"/>
  <c r="T10" i="6"/>
  <c r="T9" i="6" s="1"/>
  <c r="R45" i="3"/>
  <c r="R8" i="3" s="1"/>
  <c r="R122" i="3" s="1"/>
  <c r="R125" i="3" s="1"/>
  <c r="R129" i="3" s="1"/>
  <c r="R130" i="3" s="1"/>
  <c r="S62" i="4"/>
  <c r="R61" i="4"/>
  <c r="R45" i="4" s="1"/>
  <c r="R8" i="4" s="1"/>
  <c r="U85" i="1"/>
  <c r="Q8" i="4"/>
  <c r="AB49" i="3"/>
  <c r="W51" i="3"/>
  <c r="W49" i="3" s="1"/>
  <c r="S85" i="5"/>
  <c r="S55" i="3"/>
  <c r="R49" i="3"/>
  <c r="O121" i="2"/>
  <c r="N124" i="2"/>
  <c r="N128" i="2" s="1"/>
  <c r="I86" i="2"/>
  <c r="H85" i="2"/>
  <c r="O45" i="5"/>
  <c r="Z45" i="6"/>
  <c r="S117" i="5"/>
  <c r="R113" i="5"/>
  <c r="R84" i="5" s="1"/>
  <c r="T103" i="4"/>
  <c r="S99" i="4"/>
  <c r="S116" i="6"/>
  <c r="R113" i="6"/>
  <c r="R84" i="6" s="1"/>
  <c r="S117" i="4"/>
  <c r="R113" i="4"/>
  <c r="I31" i="3"/>
  <c r="I27" i="3" s="1"/>
  <c r="I8" i="3" s="1"/>
  <c r="I122" i="3" s="1"/>
  <c r="X122" i="3"/>
  <c r="X125" i="3" s="1"/>
  <c r="X129" i="3" s="1"/>
  <c r="Y130" i="3" s="1"/>
  <c r="O96" i="6"/>
  <c r="O90" i="6" s="1"/>
  <c r="P129" i="6"/>
  <c r="U84" i="6"/>
  <c r="J122" i="6"/>
  <c r="J125" i="6" s="1"/>
  <c r="Q130" i="6"/>
  <c r="P122" i="1"/>
  <c r="P125" i="1" s="1"/>
  <c r="O20" i="4"/>
  <c r="O16" i="4" s="1"/>
  <c r="J129" i="4"/>
  <c r="I125" i="4"/>
  <c r="I129" i="4" s="1"/>
  <c r="T115" i="1"/>
  <c r="T113" i="1" s="1"/>
  <c r="S113" i="1"/>
  <c r="Y90" i="6"/>
  <c r="Y85" i="6" s="1"/>
  <c r="Y84" i="6" s="1"/>
  <c r="Y122" i="6" s="1"/>
  <c r="Y125" i="6" s="1"/>
  <c r="Y129" i="6" s="1"/>
  <c r="Y130" i="6" s="1"/>
  <c r="Z96" i="6"/>
  <c r="AB135" i="3"/>
  <c r="AB136" i="3"/>
  <c r="AB20" i="3"/>
  <c r="AB16" i="3" s="1"/>
  <c r="AB10" i="5"/>
  <c r="AA9" i="5"/>
  <c r="L86" i="2"/>
  <c r="K85" i="2"/>
  <c r="T47" i="4"/>
  <c r="AB62" i="5"/>
  <c r="AB61" i="5" s="1"/>
  <c r="AA61" i="5"/>
  <c r="S20" i="6"/>
  <c r="S16" i="6" s="1"/>
  <c r="S136" i="6"/>
  <c r="S135" i="6"/>
  <c r="T55" i="6"/>
  <c r="S49" i="6"/>
  <c r="P84" i="3"/>
  <c r="U84" i="3" s="1"/>
  <c r="U85" i="3"/>
  <c r="U89" i="3"/>
  <c r="O89" i="3"/>
  <c r="X130" i="3"/>
  <c r="X184" i="3"/>
  <c r="T87" i="1"/>
  <c r="T86" i="1" s="1"/>
  <c r="S86" i="1"/>
  <c r="N99" i="1"/>
  <c r="N85" i="1" s="1"/>
  <c r="N84" i="1" s="1"/>
  <c r="I110" i="1"/>
  <c r="I99" i="1" s="1"/>
  <c r="I85" i="1" s="1"/>
  <c r="I84" i="1" s="1"/>
  <c r="T9" i="3"/>
  <c r="O10" i="3"/>
  <c r="O9" i="3" s="1"/>
  <c r="T135" i="3"/>
  <c r="T20" i="3"/>
  <c r="T16" i="3" s="1"/>
  <c r="T136" i="3"/>
  <c r="AB27" i="3"/>
  <c r="W28" i="3"/>
  <c r="W27" i="3" s="1"/>
  <c r="O46" i="3"/>
  <c r="T49" i="1"/>
  <c r="O51" i="1"/>
  <c r="O49" i="1" s="1"/>
  <c r="O45" i="1" s="1"/>
  <c r="AB62" i="3"/>
  <c r="AB61" i="3" s="1"/>
  <c r="AA61" i="3"/>
  <c r="Q137" i="4"/>
  <c r="Q89" i="4"/>
  <c r="Q85" i="4" s="1"/>
  <c r="Q84" i="4" s="1"/>
  <c r="Q122" i="4" s="1"/>
  <c r="Q125" i="4" s="1"/>
  <c r="Q135" i="4"/>
  <c r="AA46" i="5"/>
  <c r="Z45" i="5"/>
  <c r="P84" i="5"/>
  <c r="U85" i="5"/>
  <c r="U89" i="5"/>
  <c r="I125" i="3"/>
  <c r="I129" i="3" s="1"/>
  <c r="I31" i="6"/>
  <c r="I27" i="6" s="1"/>
  <c r="I8" i="6" s="1"/>
  <c r="I122" i="6" s="1"/>
  <c r="O85" i="3"/>
  <c r="O84" i="3" s="1"/>
  <c r="M122" i="1"/>
  <c r="M125" i="1" s="1"/>
  <c r="S16" i="1"/>
  <c r="S85" i="6"/>
  <c r="T85" i="6"/>
  <c r="Z8" i="6"/>
  <c r="O28" i="3"/>
  <c r="O27" i="3" s="1"/>
  <c r="E157" i="2"/>
  <c r="E156" i="2" s="1"/>
  <c r="AB10" i="3"/>
  <c r="AA9" i="3"/>
  <c r="X130" i="6"/>
  <c r="X184" i="6"/>
  <c r="U125" i="1"/>
  <c r="P129" i="1"/>
  <c r="T99" i="1"/>
  <c r="O103" i="1"/>
  <c r="O99" i="1" s="1"/>
  <c r="AA136" i="3"/>
  <c r="AA20" i="3"/>
  <c r="AA16" i="3" s="1"/>
  <c r="AA135" i="3"/>
  <c r="T62" i="3"/>
  <c r="T61" i="3" s="1"/>
  <c r="S61" i="3"/>
  <c r="R61" i="1"/>
  <c r="R45" i="1" s="1"/>
  <c r="R8" i="1" s="1"/>
  <c r="S62" i="1"/>
  <c r="T62" i="5"/>
  <c r="T61" i="5" s="1"/>
  <c r="T45" i="5" s="1"/>
  <c r="S61" i="5"/>
  <c r="S45" i="5" s="1"/>
  <c r="T136" i="6"/>
  <c r="T20" i="6"/>
  <c r="T16" i="6" s="1"/>
  <c r="T135" i="6"/>
  <c r="T10" i="5"/>
  <c r="T9" i="5" s="1"/>
  <c r="S9" i="5"/>
  <c r="S47" i="6"/>
  <c r="R45" i="6"/>
  <c r="I125" i="5"/>
  <c r="I129" i="5" s="1"/>
  <c r="J129" i="5"/>
  <c r="T9" i="1"/>
  <c r="O12" i="1"/>
  <c r="O9" i="1" s="1"/>
  <c r="N27" i="1"/>
  <c r="N8" i="1" s="1"/>
  <c r="I31" i="1"/>
  <c r="I27" i="1" s="1"/>
  <c r="I8" i="1" s="1"/>
  <c r="I122" i="1" s="1"/>
  <c r="R89" i="1"/>
  <c r="R135" i="1"/>
  <c r="R85" i="1"/>
  <c r="R84" i="1" s="1"/>
  <c r="R137" i="1"/>
  <c r="S93" i="1"/>
  <c r="R90" i="1"/>
  <c r="S20" i="3"/>
  <c r="O20" i="3" s="1"/>
  <c r="O16" i="3" s="1"/>
  <c r="S136" i="3"/>
  <c r="S135" i="3"/>
  <c r="W96" i="3"/>
  <c r="W90" i="3" s="1"/>
  <c r="W85" i="3" s="1"/>
  <c r="W84" i="3" s="1"/>
  <c r="AB90" i="3"/>
  <c r="AB85" i="3" s="1"/>
  <c r="AB84" i="3" s="1"/>
  <c r="S27" i="5"/>
  <c r="T29" i="5"/>
  <c r="T27" i="5" s="1"/>
  <c r="AA46" i="3"/>
  <c r="Z45" i="3"/>
  <c r="Z8" i="3" s="1"/>
  <c r="Z122" i="3" s="1"/>
  <c r="Z125" i="3" s="1"/>
  <c r="Z129" i="3" s="1"/>
  <c r="Z130" i="3" s="1"/>
  <c r="P186" i="4"/>
  <c r="P188" i="4" s="1"/>
  <c r="P189" i="4" s="1"/>
  <c r="P129" i="4"/>
  <c r="U125" i="4"/>
  <c r="R86" i="4"/>
  <c r="S87" i="4"/>
  <c r="AB29" i="6"/>
  <c r="AB27" i="6" s="1"/>
  <c r="AA27" i="6"/>
  <c r="AB55" i="6"/>
  <c r="AB49" i="6" s="1"/>
  <c r="AB45" i="6" s="1"/>
  <c r="AA49" i="6"/>
  <c r="Q84" i="1"/>
  <c r="Q122" i="1" s="1"/>
  <c r="Q125" i="1" s="1"/>
  <c r="Q129" i="1" s="1"/>
  <c r="Q130" i="1" s="1"/>
  <c r="Z8" i="5"/>
  <c r="Z122" i="5" s="1"/>
  <c r="Z125" i="5" s="1"/>
  <c r="Z129" i="5" s="1"/>
  <c r="Z130" i="5" s="1"/>
  <c r="O104" i="6"/>
  <c r="O99" i="6" s="1"/>
  <c r="O85" i="6" s="1"/>
  <c r="AA27" i="3"/>
  <c r="O16" i="1"/>
  <c r="W17" i="3"/>
  <c r="W20" i="3"/>
  <c r="O17" i="6"/>
  <c r="R8" i="6"/>
  <c r="R122" i="6" s="1"/>
  <c r="R125" i="6" s="1"/>
  <c r="R129" i="6" s="1"/>
  <c r="R130" i="6" s="1"/>
  <c r="O28" i="1"/>
  <c r="O27" i="1" s="1"/>
  <c r="W96" i="5"/>
  <c r="W90" i="5" s="1"/>
  <c r="F72" i="46" l="1"/>
  <c r="G72" i="46"/>
  <c r="R122" i="5"/>
  <c r="R125" i="5" s="1"/>
  <c r="R129" i="5" s="1"/>
  <c r="R130" i="5" s="1"/>
  <c r="S113" i="6"/>
  <c r="T116" i="6"/>
  <c r="AA45" i="6"/>
  <c r="I85" i="2"/>
  <c r="H121" i="2"/>
  <c r="U85" i="2"/>
  <c r="T121" i="2"/>
  <c r="AA137" i="5"/>
  <c r="AA89" i="5"/>
  <c r="W86" i="5"/>
  <c r="AA135" i="5"/>
  <c r="N122" i="1"/>
  <c r="N125" i="1" s="1"/>
  <c r="N129" i="1" s="1"/>
  <c r="T99" i="4"/>
  <c r="O103" i="4"/>
  <c r="O99" i="4" s="1"/>
  <c r="AB89" i="5"/>
  <c r="AB137" i="5"/>
  <c r="AB135" i="5"/>
  <c r="W16" i="3"/>
  <c r="T45" i="3"/>
  <c r="T8" i="3" s="1"/>
  <c r="T122" i="3" s="1"/>
  <c r="T125" i="3" s="1"/>
  <c r="T129" i="3" s="1"/>
  <c r="P122" i="3"/>
  <c r="P125" i="3" s="1"/>
  <c r="O89" i="5"/>
  <c r="O85" i="5" s="1"/>
  <c r="F158" i="6"/>
  <c r="F157" i="6" s="1"/>
  <c r="T8" i="5"/>
  <c r="W110" i="6"/>
  <c r="W99" i="6" s="1"/>
  <c r="T117" i="5"/>
  <c r="T113" i="5" s="1"/>
  <c r="T84" i="5" s="1"/>
  <c r="S113" i="5"/>
  <c r="W103" i="5"/>
  <c r="W99" i="5" s="1"/>
  <c r="AB99" i="5"/>
  <c r="AB85" i="5" s="1"/>
  <c r="AB84" i="5" s="1"/>
  <c r="O10" i="6"/>
  <c r="O9" i="6" s="1"/>
  <c r="T117" i="4"/>
  <c r="T113" i="4" s="1"/>
  <c r="S113" i="4"/>
  <c r="T55" i="3"/>
  <c r="T49" i="3" s="1"/>
  <c r="S49" i="3"/>
  <c r="S45" i="3" s="1"/>
  <c r="O55" i="3"/>
  <c r="O49" i="3" s="1"/>
  <c r="O45" i="3" s="1"/>
  <c r="O8" i="3" s="1"/>
  <c r="O122" i="3" s="1"/>
  <c r="S136" i="5"/>
  <c r="S20" i="5"/>
  <c r="O20" i="5" s="1"/>
  <c r="O16" i="5" s="1"/>
  <c r="O115" i="1"/>
  <c r="S84" i="5"/>
  <c r="S61" i="4"/>
  <c r="S45" i="4" s="1"/>
  <c r="S8" i="4" s="1"/>
  <c r="T62" i="4"/>
  <c r="T61" i="4" s="1"/>
  <c r="W28" i="5"/>
  <c r="W27" i="5" s="1"/>
  <c r="AB27" i="5"/>
  <c r="T136" i="5"/>
  <c r="T20" i="5"/>
  <c r="T16" i="5" s="1"/>
  <c r="T135" i="5"/>
  <c r="O113" i="1"/>
  <c r="P184" i="6"/>
  <c r="P130" i="6"/>
  <c r="J129" i="6"/>
  <c r="I125" i="6"/>
  <c r="I129" i="6" s="1"/>
  <c r="U125" i="6"/>
  <c r="T87" i="4"/>
  <c r="T86" i="4" s="1"/>
  <c r="S86" i="4"/>
  <c r="O86" i="4" s="1"/>
  <c r="AB46" i="3"/>
  <c r="AB45" i="3" s="1"/>
  <c r="AA45" i="3"/>
  <c r="R135" i="4"/>
  <c r="R89" i="4"/>
  <c r="R85" i="4" s="1"/>
  <c r="R84" i="4" s="1"/>
  <c r="R122" i="4" s="1"/>
  <c r="R125" i="4" s="1"/>
  <c r="R137" i="4"/>
  <c r="P130" i="4"/>
  <c r="P184" i="4"/>
  <c r="T62" i="1"/>
  <c r="T61" i="1" s="1"/>
  <c r="T45" i="1" s="1"/>
  <c r="S61" i="1"/>
  <c r="S45" i="1" s="1"/>
  <c r="S8" i="1" s="1"/>
  <c r="P184" i="1"/>
  <c r="P130" i="1"/>
  <c r="P129" i="3"/>
  <c r="U125" i="3"/>
  <c r="M129" i="1"/>
  <c r="I125" i="1"/>
  <c r="I129" i="1" s="1"/>
  <c r="T137" i="1"/>
  <c r="T135" i="1"/>
  <c r="T89" i="1"/>
  <c r="T49" i="6"/>
  <c r="O55" i="6"/>
  <c r="O49" i="6" s="1"/>
  <c r="O47" i="4"/>
  <c r="O45" i="4" s="1"/>
  <c r="O8" i="4" s="1"/>
  <c r="T45" i="4"/>
  <c r="T8" i="4" s="1"/>
  <c r="AB9" i="5"/>
  <c r="W10" i="5"/>
  <c r="W9" i="5" s="1"/>
  <c r="AA8" i="6"/>
  <c r="AB8" i="6"/>
  <c r="S16" i="3"/>
  <c r="O8" i="1"/>
  <c r="AA8" i="3"/>
  <c r="AA122" i="3" s="1"/>
  <c r="AA125" i="3" s="1"/>
  <c r="AA129" i="3" s="1"/>
  <c r="AA130" i="3" s="1"/>
  <c r="O20" i="6"/>
  <c r="O16" i="6" s="1"/>
  <c r="O29" i="5"/>
  <c r="O27" i="5" s="1"/>
  <c r="T93" i="1"/>
  <c r="T90" i="1" s="1"/>
  <c r="S90" i="1"/>
  <c r="T47" i="6"/>
  <c r="S45" i="6"/>
  <c r="O47" i="6"/>
  <c r="O45" i="6" s="1"/>
  <c r="AB9" i="3"/>
  <c r="AB8" i="3" s="1"/>
  <c r="AB122" i="3" s="1"/>
  <c r="AB125" i="3" s="1"/>
  <c r="AB129" i="3" s="1"/>
  <c r="W10" i="3"/>
  <c r="W9" i="3" s="1"/>
  <c r="U84" i="5"/>
  <c r="P122" i="5"/>
  <c r="P125" i="5" s="1"/>
  <c r="AB46" i="5"/>
  <c r="AB45" i="5" s="1"/>
  <c r="AA45" i="5"/>
  <c r="AA8" i="5" s="1"/>
  <c r="Q129" i="4"/>
  <c r="Q130" i="4" s="1"/>
  <c r="Q186" i="4"/>
  <c r="Q188" i="4" s="1"/>
  <c r="Q189" i="4" s="1"/>
  <c r="S89" i="1"/>
  <c r="O89" i="1" s="1"/>
  <c r="S137" i="1"/>
  <c r="S135" i="1"/>
  <c r="O86" i="1"/>
  <c r="L85" i="2"/>
  <c r="K121" i="2"/>
  <c r="AA96" i="6"/>
  <c r="Z90" i="6"/>
  <c r="Z85" i="6" s="1"/>
  <c r="Z84" i="6" s="1"/>
  <c r="Z122" i="6" s="1"/>
  <c r="Z125" i="6" s="1"/>
  <c r="Z129" i="6" s="1"/>
  <c r="Z130" i="6" s="1"/>
  <c r="T8" i="1"/>
  <c r="R122" i="1"/>
  <c r="R125" i="1" s="1"/>
  <c r="R129" i="1" s="1"/>
  <c r="R130" i="1" s="1"/>
  <c r="S8" i="6"/>
  <c r="W29" i="6"/>
  <c r="W27" i="6" s="1"/>
  <c r="W8" i="6" s="1"/>
  <c r="O10" i="5"/>
  <c r="O9" i="5" s="1"/>
  <c r="O8" i="5" s="1"/>
  <c r="W55" i="6"/>
  <c r="W49" i="6" s="1"/>
  <c r="W45" i="6" s="1"/>
  <c r="AA122" i="5" l="1"/>
  <c r="AA125" i="5" s="1"/>
  <c r="AA129" i="5" s="1"/>
  <c r="AA130" i="5" s="1"/>
  <c r="S16" i="5"/>
  <c r="S8" i="5" s="1"/>
  <c r="S122" i="5" s="1"/>
  <c r="S125" i="5" s="1"/>
  <c r="S129" i="5" s="1"/>
  <c r="S130" i="5" s="1"/>
  <c r="H124" i="2"/>
  <c r="H128" i="2" s="1"/>
  <c r="I121" i="2"/>
  <c r="T122" i="5"/>
  <c r="T125" i="5" s="1"/>
  <c r="T129" i="5" s="1"/>
  <c r="T45" i="6"/>
  <c r="T8" i="6" s="1"/>
  <c r="T122" i="6" s="1"/>
  <c r="T125" i="6" s="1"/>
  <c r="T129" i="6" s="1"/>
  <c r="Q184" i="6" s="1"/>
  <c r="O113" i="5"/>
  <c r="W89" i="5"/>
  <c r="W85" i="5" s="1"/>
  <c r="W84" i="5" s="1"/>
  <c r="AA85" i="5"/>
  <c r="AA84" i="5" s="1"/>
  <c r="O116" i="6"/>
  <c r="T113" i="6"/>
  <c r="T84" i="6" s="1"/>
  <c r="S84" i="6"/>
  <c r="S122" i="6" s="1"/>
  <c r="S125" i="6" s="1"/>
  <c r="S129" i="6" s="1"/>
  <c r="S130" i="6" s="1"/>
  <c r="O84" i="5"/>
  <c r="O122" i="5"/>
  <c r="S8" i="3"/>
  <c r="S122" i="3" s="1"/>
  <c r="S125" i="3" s="1"/>
  <c r="S129" i="3" s="1"/>
  <c r="S130" i="3" s="1"/>
  <c r="O113" i="4"/>
  <c r="T124" i="2"/>
  <c r="T128" i="2" s="1"/>
  <c r="U121" i="2"/>
  <c r="O8" i="6"/>
  <c r="W46" i="5"/>
  <c r="W45" i="5" s="1"/>
  <c r="W8" i="5" s="1"/>
  <c r="W122" i="5" s="1"/>
  <c r="AB8" i="5"/>
  <c r="AB122" i="5" s="1"/>
  <c r="AB125" i="5" s="1"/>
  <c r="AB129" i="5" s="1"/>
  <c r="T85" i="1"/>
  <c r="T84" i="1" s="1"/>
  <c r="W46" i="3"/>
  <c r="W45" i="3" s="1"/>
  <c r="W8" i="3" s="1"/>
  <c r="W122" i="3" s="1"/>
  <c r="P129" i="5"/>
  <c r="U125" i="5"/>
  <c r="AB96" i="6"/>
  <c r="AA90" i="6"/>
  <c r="AA85" i="6" s="1"/>
  <c r="AA84" i="6" s="1"/>
  <c r="Y184" i="3"/>
  <c r="AB130" i="3"/>
  <c r="Q184" i="3"/>
  <c r="T130" i="3"/>
  <c r="R186" i="4"/>
  <c r="R188" i="4" s="1"/>
  <c r="R189" i="4" s="1"/>
  <c r="R129" i="4"/>
  <c r="R130" i="4" s="1"/>
  <c r="T137" i="4"/>
  <c r="T89" i="4"/>
  <c r="T85" i="4" s="1"/>
  <c r="T84" i="4" s="1"/>
  <c r="T122" i="4" s="1"/>
  <c r="T125" i="4" s="1"/>
  <c r="T135" i="4"/>
  <c r="O85" i="1"/>
  <c r="O84" i="1" s="1"/>
  <c r="S85" i="1"/>
  <c r="S84" i="1" s="1"/>
  <c r="AA122" i="6"/>
  <c r="AA125" i="6" s="1"/>
  <c r="AA129" i="6" s="1"/>
  <c r="AA130" i="6" s="1"/>
  <c r="K124" i="2"/>
  <c r="L121" i="2"/>
  <c r="AB130" i="5"/>
  <c r="W130" i="5" s="1"/>
  <c r="Y184" i="5"/>
  <c r="P184" i="3"/>
  <c r="P130" i="3"/>
  <c r="Q130" i="3"/>
  <c r="S135" i="4"/>
  <c r="S89" i="4"/>
  <c r="S137" i="4"/>
  <c r="S85" i="4"/>
  <c r="S84" i="4" s="1"/>
  <c r="S122" i="4" s="1"/>
  <c r="S125" i="4" s="1"/>
  <c r="T122" i="1"/>
  <c r="T125" i="1" s="1"/>
  <c r="T129" i="1" s="1"/>
  <c r="O122" i="1"/>
  <c r="S122" i="1"/>
  <c r="S125" i="1" s="1"/>
  <c r="S129" i="1" s="1"/>
  <c r="S130" i="1" s="1"/>
  <c r="T130" i="5" l="1"/>
  <c r="Q184" i="5"/>
  <c r="T130" i="6"/>
  <c r="O113" i="6"/>
  <c r="O84" i="6" s="1"/>
  <c r="O122" i="6" s="1"/>
  <c r="O129" i="3"/>
  <c r="T186" i="4"/>
  <c r="T188" i="4" s="1"/>
  <c r="T189" i="4" s="1"/>
  <c r="T129" i="4"/>
  <c r="AB90" i="6"/>
  <c r="AB85" i="6" s="1"/>
  <c r="AB84" i="6" s="1"/>
  <c r="AB122" i="6" s="1"/>
  <c r="AB125" i="6" s="1"/>
  <c r="AB129" i="6" s="1"/>
  <c r="W96" i="6"/>
  <c r="W90" i="6" s="1"/>
  <c r="W85" i="6" s="1"/>
  <c r="W84" i="6" s="1"/>
  <c r="W122" i="6" s="1"/>
  <c r="P130" i="5"/>
  <c r="P184" i="5"/>
  <c r="Q130" i="5"/>
  <c r="T130" i="1"/>
  <c r="Q184" i="1"/>
  <c r="S186" i="4"/>
  <c r="S188" i="4" s="1"/>
  <c r="S189" i="4" s="1"/>
  <c r="S129" i="4"/>
  <c r="S130" i="4" s="1"/>
  <c r="K128" i="2"/>
  <c r="G124" i="2"/>
  <c r="G128" i="2" s="1"/>
  <c r="O89" i="4"/>
  <c r="O85" i="4" s="1"/>
  <c r="O84" i="4" s="1"/>
  <c r="O122" i="4" s="1"/>
  <c r="Y184" i="6" l="1"/>
  <c r="AB130" i="6"/>
  <c r="W130" i="6" s="1"/>
  <c r="T130" i="4"/>
  <c r="Q184" i="4"/>
  <c r="F18" i="46" l="1"/>
  <c r="F20" i="46"/>
  <c r="G16" i="46" l="1"/>
  <c r="F17" i="46"/>
  <c r="F16" i="46" l="1"/>
  <c r="G59" i="46" l="1"/>
  <c r="G36" i="46"/>
  <c r="G41" i="46" l="1"/>
  <c r="F36" i="46"/>
  <c r="G56" i="46" l="1"/>
  <c r="G63" i="46"/>
  <c r="F63" i="46"/>
  <c r="F41" i="46"/>
  <c r="F56" i="46"/>
  <c r="G53" i="46" l="1"/>
  <c r="F53" i="46" l="1"/>
  <c r="F47" i="46" s="1"/>
  <c r="G47" i="46"/>
  <c r="G45" i="46" l="1"/>
  <c r="F46" i="46" l="1"/>
  <c r="G46" i="46"/>
  <c r="F45" i="46"/>
  <c r="G37" i="46" l="1"/>
  <c r="G10" i="46"/>
  <c r="F37" i="46"/>
  <c r="F10" i="46" l="1"/>
  <c r="G70" i="46" l="1"/>
  <c r="F70" i="46"/>
  <c r="F71" i="46" l="1"/>
</calcChain>
</file>

<file path=xl/sharedStrings.xml><?xml version="1.0" encoding="utf-8"?>
<sst xmlns="http://schemas.openxmlformats.org/spreadsheetml/2006/main" count="4418" uniqueCount="346">
  <si>
    <t>Затраты  на производство товаров и предоставление услуг, всего, в т.ч.</t>
  </si>
  <si>
    <t>тыс. тенге</t>
  </si>
  <si>
    <t>х</t>
  </si>
  <si>
    <t>1.</t>
  </si>
  <si>
    <t>Материальные затраты, всего, в т.ч.</t>
  </si>
  <si>
    <t>1.1</t>
  </si>
  <si>
    <t>Сырье и материалы</t>
  </si>
  <si>
    <t>1.2</t>
  </si>
  <si>
    <t>Покупные изделия</t>
  </si>
  <si>
    <t>1.3</t>
  </si>
  <si>
    <t>ГСМ</t>
  </si>
  <si>
    <t>1.4</t>
  </si>
  <si>
    <t>Топливо</t>
  </si>
  <si>
    <t>1.5</t>
  </si>
  <si>
    <t>Энергия на хозяйственные нужды</t>
  </si>
  <si>
    <t>1.6</t>
  </si>
  <si>
    <t>Затраты на компенсацию технологического расхода электрической энергии при передаче и распределении</t>
  </si>
  <si>
    <t>2.</t>
  </si>
  <si>
    <t>Расходы на оплату труда, всего, в т.ч.</t>
  </si>
  <si>
    <t>2.1.</t>
  </si>
  <si>
    <t>Заработная плата производственного персонала</t>
  </si>
  <si>
    <t>2.2.</t>
  </si>
  <si>
    <t>Социальный налог</t>
  </si>
  <si>
    <t>2.3.</t>
  </si>
  <si>
    <t>Обязательные профессиональные пенсионные взносы</t>
  </si>
  <si>
    <t>3.</t>
  </si>
  <si>
    <t>Амортизация</t>
  </si>
  <si>
    <t>Амортизация нематериальных активов</t>
  </si>
  <si>
    <t xml:space="preserve">Износ ОС </t>
  </si>
  <si>
    <t>4.</t>
  </si>
  <si>
    <t>Ремонт, всего, в т.ч.</t>
  </si>
  <si>
    <t>4.1</t>
  </si>
  <si>
    <t>Капитальный ремонт, не приводящий к увеличению стоимости основных фондов</t>
  </si>
  <si>
    <t>5.</t>
  </si>
  <si>
    <t>Услуги производственного характера  сторонних организаций</t>
  </si>
  <si>
    <t>5.1</t>
  </si>
  <si>
    <t>Услуги связи</t>
  </si>
  <si>
    <t>5.2</t>
  </si>
  <si>
    <t>Услуги по переработке электроэнергии тяговыми подстанциями</t>
  </si>
  <si>
    <t>5.3</t>
  </si>
  <si>
    <t>Доходы от услуг по передаче и распределению электроэнергии</t>
  </si>
  <si>
    <t>Страхование автотранспорта</t>
  </si>
  <si>
    <t>7.8</t>
  </si>
  <si>
    <t>Подготовка кадров</t>
  </si>
  <si>
    <t>7.9</t>
  </si>
  <si>
    <t>Прочие</t>
  </si>
  <si>
    <t>Тех  обслуживание кондиционеров</t>
  </si>
  <si>
    <t>Затраты на охрану объектов</t>
  </si>
  <si>
    <t>ТМЗ на содержание хоз. инвентаря</t>
  </si>
  <si>
    <t>Абонентское обслуживание</t>
  </si>
  <si>
    <t>сбор за проезд по дорогам РК</t>
  </si>
  <si>
    <t>переплет документов</t>
  </si>
  <si>
    <t>тех осмотр</t>
  </si>
  <si>
    <t>абонентская плата GPS</t>
  </si>
  <si>
    <t>услуги по обследованию ГПМ</t>
  </si>
  <si>
    <t>ТО авто</t>
  </si>
  <si>
    <t>шиномонтажные работы</t>
  </si>
  <si>
    <t>услуги за преподавание в ЦПК</t>
  </si>
  <si>
    <t>раздел ОосС к рабочему проекту</t>
  </si>
  <si>
    <t>услуги по расчетам ЭМС</t>
  </si>
  <si>
    <t>тех обсл ККС</t>
  </si>
  <si>
    <t>регулировка шлагбаума</t>
  </si>
  <si>
    <t>ремонт электроинструмента</t>
  </si>
  <si>
    <t>разработка проета нормативов ПДВ</t>
  </si>
  <si>
    <t>участие в семинаре</t>
  </si>
  <si>
    <t>проч налоги</t>
  </si>
  <si>
    <t>бланки удостоверений</t>
  </si>
  <si>
    <t>прочие</t>
  </si>
  <si>
    <t>II.</t>
  </si>
  <si>
    <t>Расходы периода, всего, в т.ч.</t>
  </si>
  <si>
    <t>Общие административные расходы, всего, в том числе</t>
  </si>
  <si>
    <t>6.1</t>
  </si>
  <si>
    <t xml:space="preserve">Заработная плата административного персонала </t>
  </si>
  <si>
    <t>6.2</t>
  </si>
  <si>
    <t>6.3</t>
  </si>
  <si>
    <t>Налоговые платежи</t>
  </si>
  <si>
    <t>Имущественный налог</t>
  </si>
  <si>
    <t>Налог на землю</t>
  </si>
  <si>
    <t>Земельный налог</t>
  </si>
  <si>
    <t>Плата за пользование земельными участками</t>
  </si>
  <si>
    <t>Использование радиочастотного спектра</t>
  </si>
  <si>
    <t>Плата за загрязнение окруж. среды</t>
  </si>
  <si>
    <t>Транспортный налог</t>
  </si>
  <si>
    <t>6.4</t>
  </si>
  <si>
    <t>Другие расходы</t>
  </si>
  <si>
    <t>тыс.тенге</t>
  </si>
  <si>
    <t>6.4.1</t>
  </si>
  <si>
    <t xml:space="preserve">Амортизация </t>
  </si>
  <si>
    <t>6.4.2</t>
  </si>
  <si>
    <t>Услуги банка</t>
  </si>
  <si>
    <t>6.4.3</t>
  </si>
  <si>
    <t>Расходные материалы для вычислительной техники</t>
  </si>
  <si>
    <t>6.4.4</t>
  </si>
  <si>
    <t>6.4.5</t>
  </si>
  <si>
    <t>6.4.6</t>
  </si>
  <si>
    <t>6.4.7</t>
  </si>
  <si>
    <t>Лимит расходов</t>
  </si>
  <si>
    <t>6.5.1</t>
  </si>
  <si>
    <t>Консалт., аудит, маркетинг услуги</t>
  </si>
  <si>
    <t>6.5.2</t>
  </si>
  <si>
    <t>6.5.3</t>
  </si>
  <si>
    <t xml:space="preserve">Услуги связи </t>
  </si>
  <si>
    <t>6.5.4</t>
  </si>
  <si>
    <t>Содержание автотранспорта</t>
  </si>
  <si>
    <t>6.5.5</t>
  </si>
  <si>
    <t>Публикация объявлений</t>
  </si>
  <si>
    <t>6.5.6</t>
  </si>
  <si>
    <t>Нотариальные услуги</t>
  </si>
  <si>
    <t>6.5.7</t>
  </si>
  <si>
    <t>Периодическая печать (подписка)</t>
  </si>
  <si>
    <t xml:space="preserve">Расходы на выплату вознаграждения </t>
  </si>
  <si>
    <t>III.</t>
  </si>
  <si>
    <t>Всего затрат на предоставление услуг</t>
  </si>
  <si>
    <t>IV.</t>
  </si>
  <si>
    <t>Доход (РБА*СП)</t>
  </si>
  <si>
    <t>V.</t>
  </si>
  <si>
    <t>Регулируемая база задействованных активов (РБА)</t>
  </si>
  <si>
    <t>VI.</t>
  </si>
  <si>
    <t>Неконтролируемые затраты региональной электросетевой компании в расчете на календарный год, в том числе:</t>
  </si>
  <si>
    <t>11.1.</t>
  </si>
  <si>
    <t>налоги</t>
  </si>
  <si>
    <t>11.2.</t>
  </si>
  <si>
    <t>затраты на компенсацию технологического расхода электрической энергии при передаче и распределении</t>
  </si>
  <si>
    <t>11.3</t>
  </si>
  <si>
    <t>плата за услуги системного оператора</t>
  </si>
  <si>
    <t>11.3-1</t>
  </si>
  <si>
    <t>расходы на выплату вознаграждения за заемные средства для реализации инвестиционной программы РЭК, утвержденной в установленном законодательством порядке</t>
  </si>
  <si>
    <t>Прибыль</t>
  </si>
  <si>
    <t>Годовой объем передачи и распределения электрической энергии по сетям РЭК, учитываемый при формировании тарифа</t>
  </si>
  <si>
    <t>Тариф на услуги по передаче и распределению электрической энергии с разбивкой на два года</t>
  </si>
  <si>
    <t>тенге за 1 кВтч</t>
  </si>
  <si>
    <t>Доходы</t>
  </si>
  <si>
    <t>доля в тарифе
2016</t>
  </si>
  <si>
    <t>доля в тарифе 2017</t>
  </si>
  <si>
    <t xml:space="preserve">доля в тарифе 2018 </t>
  </si>
  <si>
    <t>доля в тарифе 2019</t>
  </si>
  <si>
    <t xml:space="preserve">доля в тарифе 2020 </t>
  </si>
  <si>
    <t>проект уо</t>
  </si>
  <si>
    <t>среднемесячная</t>
  </si>
  <si>
    <t>численность</t>
  </si>
  <si>
    <t>среднемесячная зараб.плата</t>
  </si>
  <si>
    <t>0</t>
  </si>
  <si>
    <t>отклонение проект сем от проекта уо 2016 год</t>
  </si>
  <si>
    <t>6.3.1</t>
  </si>
  <si>
    <t>6.32</t>
  </si>
  <si>
    <t xml:space="preserve">в тарифе
2012 год </t>
  </si>
  <si>
    <t>2015 год тариф МСА</t>
  </si>
  <si>
    <t>1 вариант</t>
  </si>
  <si>
    <t>2 вариант</t>
  </si>
  <si>
    <t>10683,09</t>
  </si>
  <si>
    <t xml:space="preserve">проект уо </t>
  </si>
  <si>
    <t>проект корректировки</t>
  </si>
  <si>
    <t>проект сем</t>
  </si>
  <si>
    <t>не менялась зп.ауп и кегок</t>
  </si>
  <si>
    <t>1.2.</t>
  </si>
  <si>
    <t>Приложение 3</t>
  </si>
  <si>
    <t>к Правилам утверждения предельного уровня тарифов</t>
  </si>
  <si>
    <t>(цен, ставок сборов) и тарифных смет на регулируемые</t>
  </si>
  <si>
    <t>услуги (товары, работы) субъектов естественных монополий</t>
  </si>
  <si>
    <t>Тарифная смета ТОО "Межрегионэнерготранзит" на 2016-2020 годы</t>
  </si>
  <si>
    <t>услуги по передаче и распределению электрической энергии</t>
  </si>
  <si>
    <t>№ п/п</t>
  </si>
  <si>
    <t>Наименования</t>
  </si>
  <si>
    <t>Ед. изм.</t>
  </si>
  <si>
    <t>Принято в действующей  тарифной смете  на 2015 год *</t>
  </si>
  <si>
    <t>Фактические показатели  за  предшествующий 2014 год</t>
  </si>
  <si>
    <t>Фактические показатели  за 3 квартала 2014 года и 1 квартал 2015 года</t>
  </si>
  <si>
    <t>проект тарифной сметы субъекта</t>
  </si>
  <si>
    <t>за весь период реализации проекта, в том числе</t>
  </si>
  <si>
    <t>2016 год</t>
  </si>
  <si>
    <t>2017 год</t>
  </si>
  <si>
    <t>2018 год</t>
  </si>
  <si>
    <t>2019 год</t>
  </si>
  <si>
    <t>2020 год</t>
  </si>
  <si>
    <t>I.</t>
  </si>
  <si>
    <t>Коммунальные услуги</t>
  </si>
  <si>
    <t>5.4</t>
  </si>
  <si>
    <t>Дератизация</t>
  </si>
  <si>
    <t>5.5</t>
  </si>
  <si>
    <t>Демеркуризация РСЛ</t>
  </si>
  <si>
    <t>5.6</t>
  </si>
  <si>
    <t>Услуги по обслуживанию теплосчетчиков</t>
  </si>
  <si>
    <t>5.7</t>
  </si>
  <si>
    <t>Услуги по промывке тепловой сети</t>
  </si>
  <si>
    <t>5.8</t>
  </si>
  <si>
    <t>Услуги по обслуживанию пожарной сигнализации</t>
  </si>
  <si>
    <t>5.9</t>
  </si>
  <si>
    <t>Услуги автотранспорта</t>
  </si>
  <si>
    <t>5.10</t>
  </si>
  <si>
    <t>Поверка приборов и аккредитация лаборатории</t>
  </si>
  <si>
    <t>5.11</t>
  </si>
  <si>
    <t>Услуги по проведению экспертиз</t>
  </si>
  <si>
    <t>6.</t>
  </si>
  <si>
    <t>Арендные платежи</t>
  </si>
  <si>
    <t>в том числе</t>
  </si>
  <si>
    <t xml:space="preserve">      аренда аппаратуры ВЧ связи</t>
  </si>
  <si>
    <t xml:space="preserve">      аренда имущества (текущая)</t>
  </si>
  <si>
    <t xml:space="preserve">      Аренда помещения (текущая)</t>
  </si>
  <si>
    <t xml:space="preserve">      Аренда автотранспорта</t>
  </si>
  <si>
    <t>7.</t>
  </si>
  <si>
    <t>Прочие затраты</t>
  </si>
  <si>
    <t>7.1</t>
  </si>
  <si>
    <t>Командировочные расходы</t>
  </si>
  <si>
    <t>7.2</t>
  </si>
  <si>
    <t>Канцелярские расходы</t>
  </si>
  <si>
    <t>7.3</t>
  </si>
  <si>
    <t>Типографские расходы</t>
  </si>
  <si>
    <t>7.4</t>
  </si>
  <si>
    <t>Охрана труда</t>
  </si>
  <si>
    <t>средства пожатушения</t>
  </si>
  <si>
    <t>мед осмотр</t>
  </si>
  <si>
    <t>пополнение мед аптечек</t>
  </si>
  <si>
    <t>спецпитание</t>
  </si>
  <si>
    <t>спецодежда</t>
  </si>
  <si>
    <t>ТМЗ на предупреждение  несч случаев</t>
  </si>
  <si>
    <t>ТМЗ производственной санитарии</t>
  </si>
  <si>
    <t>7.5</t>
  </si>
  <si>
    <t>Страхование  от несчастных случаев</t>
  </si>
  <si>
    <t>7.6</t>
  </si>
  <si>
    <t>Аттестация рабочих мест</t>
  </si>
  <si>
    <t>6.4.8</t>
  </si>
  <si>
    <t>Услуги по оценке имущества</t>
  </si>
  <si>
    <t>6.4.9</t>
  </si>
  <si>
    <t>Оформление имущества</t>
  </si>
  <si>
    <t>6.4.10</t>
  </si>
  <si>
    <t>Услуги почты</t>
  </si>
  <si>
    <t>6.4.11</t>
  </si>
  <si>
    <t>6.5</t>
  </si>
  <si>
    <t>Всего доходов</t>
  </si>
  <si>
    <t>VII.</t>
  </si>
  <si>
    <t>Объем оказываемых услуг (товаров, работ)</t>
  </si>
  <si>
    <t>тыс. кВтч</t>
  </si>
  <si>
    <t>VIII.</t>
  </si>
  <si>
    <t>Нормативные технические потери</t>
  </si>
  <si>
    <t>%</t>
  </si>
  <si>
    <t>IX.</t>
  </si>
  <si>
    <t>Тариф</t>
  </si>
  <si>
    <t>тенге/кВтч</t>
  </si>
  <si>
    <t>Справочно:</t>
  </si>
  <si>
    <t>8.</t>
  </si>
  <si>
    <t>Среднесписочная численность персонала, в том числе</t>
  </si>
  <si>
    <t>человек</t>
  </si>
  <si>
    <t>8.1.</t>
  </si>
  <si>
    <t>производственного персонала</t>
  </si>
  <si>
    <t>8.2.</t>
  </si>
  <si>
    <t>административного персонала</t>
  </si>
  <si>
    <t>9.</t>
  </si>
  <si>
    <t>Затраты региональной электросетевой компанией на оказание услуг на передачу электрической энергии (в расчете на календарный год, за вычетом неконтролируемых затрат и амортизации с приложением расшифровки)</t>
  </si>
  <si>
    <t>Амортизационные отчисления основных средств и нематериальных активов в расчете на календарный год</t>
  </si>
  <si>
    <t>1.4.</t>
  </si>
  <si>
    <t>7.7.</t>
  </si>
  <si>
    <t>Всего затрат на предоставление услуг по основной деятельности</t>
  </si>
  <si>
    <t>Среднемесячная заработная плата, в сего, в т.ч.ч</t>
  </si>
  <si>
    <t>тенге</t>
  </si>
  <si>
    <t>9.1.</t>
  </si>
  <si>
    <t>9.2.</t>
  </si>
  <si>
    <t>10.</t>
  </si>
  <si>
    <t>Капитальный ремонт, приводящий к увеличению стоимости основных средств</t>
  </si>
  <si>
    <t>11.</t>
  </si>
  <si>
    <t>Затраты, осуществляемые за счет прибыли (расшифровать)</t>
  </si>
  <si>
    <t>12.</t>
  </si>
  <si>
    <t xml:space="preserve">Текущий (планово-предупредительный )ремонт, выполняемый хозяйственным способом, всего, в том числе </t>
  </si>
  <si>
    <t>12.1.</t>
  </si>
  <si>
    <t>материалы на ремонт</t>
  </si>
  <si>
    <t>12.2.</t>
  </si>
  <si>
    <t>заработная плата</t>
  </si>
  <si>
    <t>12.3.</t>
  </si>
  <si>
    <t>социальный налог</t>
  </si>
  <si>
    <t>12.4.</t>
  </si>
  <si>
    <t>командировочные расходы</t>
  </si>
  <si>
    <t>* Заполняется в соответствии с утвержденной тарифной сметой. В связи с утверждением тарифа с применением метода сравнителеного анализа затраты в разрезе статей затрат не утверждались</t>
  </si>
  <si>
    <t>1.3.</t>
  </si>
  <si>
    <t>Ремонт, не приводящий к увеличению стоимости основных фондов</t>
  </si>
  <si>
    <t>Социальный налог,</t>
  </si>
  <si>
    <t xml:space="preserve"> ОСМС</t>
  </si>
  <si>
    <t>Оценка имущества</t>
  </si>
  <si>
    <t>7.8.</t>
  </si>
  <si>
    <t>8.3.</t>
  </si>
  <si>
    <t>8.4.</t>
  </si>
  <si>
    <t>8.5.</t>
  </si>
  <si>
    <t>8.6.</t>
  </si>
  <si>
    <t>8.6.1.</t>
  </si>
  <si>
    <t>8.6.3.</t>
  </si>
  <si>
    <t>8.6.4.</t>
  </si>
  <si>
    <t>8.6.5.</t>
  </si>
  <si>
    <t>8.6.6.</t>
  </si>
  <si>
    <t>Прибыль (+), убыток (-)</t>
  </si>
  <si>
    <t xml:space="preserve">Отклонение </t>
  </si>
  <si>
    <t>ИНФОРМАЦИЯ</t>
  </si>
  <si>
    <t>об исполнении утвержденной тарифной сметы</t>
  </si>
  <si>
    <t xml:space="preserve">к правилам осуществления деятельности </t>
  </si>
  <si>
    <t>субъектами естественных монополий</t>
  </si>
  <si>
    <t>Фактически сложившиеся показатели тарифной сметы</t>
  </si>
  <si>
    <t>Причины отклонения</t>
  </si>
  <si>
    <t>Откло-нение  в %</t>
  </si>
  <si>
    <t>до конца года будет исполнена</t>
  </si>
  <si>
    <t>Согласно договору</t>
  </si>
  <si>
    <t>оптимизация затрат</t>
  </si>
  <si>
    <t>В связи с производственной необходимостью</t>
  </si>
  <si>
    <t>фактически сложившееся значение</t>
  </si>
  <si>
    <t>Приложение 5, форма 2</t>
  </si>
  <si>
    <t>выполнение согласно графику, начиная с мая</t>
  </si>
  <si>
    <t>ТОО "Межрегионэнерготранзит"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</si>
  <si>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</si>
  <si>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</si>
  <si>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</si>
  <si>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</si>
  <si>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</si>
  <si>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</si>
  <si>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</si>
  <si>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</si>
  <si>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</si>
  <si>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 xml:space="preserve">Поверка и калибровка приборов </t>
  </si>
  <si>
    <t>фактически</t>
  </si>
  <si>
    <t xml:space="preserve">Предусмотрено в утвержденной  тарифной смете </t>
  </si>
  <si>
    <t>за счет увеличения ОС</t>
  </si>
  <si>
    <t>ОПВР</t>
  </si>
  <si>
    <t>2.4.</t>
  </si>
  <si>
    <t>2.5.</t>
  </si>
  <si>
    <t>ОСМС</t>
  </si>
  <si>
    <t>ВОПР</t>
  </si>
  <si>
    <t>8.6.2.</t>
  </si>
  <si>
    <t>8.6.7.</t>
  </si>
  <si>
    <t>8.6.8.</t>
  </si>
  <si>
    <t>8.6.9.</t>
  </si>
  <si>
    <t>8.7.</t>
  </si>
  <si>
    <t>8.7.1.</t>
  </si>
  <si>
    <t>8.7.2.</t>
  </si>
  <si>
    <t>8.7.3.</t>
  </si>
  <si>
    <t>8.7.4.</t>
  </si>
  <si>
    <t>8.7.5.</t>
  </si>
  <si>
    <t>фактическое значение</t>
  </si>
  <si>
    <t xml:space="preserve"> по итогам  за 1 полугодие   2025  года </t>
  </si>
  <si>
    <t>превышение в связи с переоценкой ОС</t>
  </si>
  <si>
    <t xml:space="preserve">Ожидается перерасход  </t>
  </si>
  <si>
    <t>Ожидается перерасход  на 4 млн. тенге</t>
  </si>
  <si>
    <t>Ожидается перерасход  на 9 млн.  тенге</t>
  </si>
  <si>
    <t>Согласно договору  ожидается 1,6 млн. тенге</t>
  </si>
  <si>
    <t xml:space="preserve">Ожидается выполнение </t>
  </si>
  <si>
    <t>Согласно  требованиям  ПТЭ, правилам формирования тарифов, Правилам обеспечения промышленной безопасности при эксплуатации ГПМ  и т. д. ,  с облюдением периодичности</t>
  </si>
  <si>
    <t>Ожидается 11 млн. тенге</t>
  </si>
  <si>
    <t>Ожидается 160,8млн. тенге</t>
  </si>
  <si>
    <t>Ожидается 35 млн. тенге</t>
  </si>
  <si>
    <t>Ожидается 63 млн.  тенге</t>
  </si>
  <si>
    <t>по итогам  года ожидается  218  млн. тенге</t>
  </si>
  <si>
    <t>по итогам  года ожидается  4  млн.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</si>
</sst>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00"/>
    <numFmt numFmtId="167" formatCode="#,##0.000"/>
    <numFmt numFmtId="168" formatCode="_-* #,##0\ _р_._-;\-* #,##0\ _р_._-;_-* &quot;-&quot;\ _р_._-;_-@_-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3"/>
      <color indexed="1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>
      <alignment horizontal="left"/>
    </xf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168" fontId="27" fillId="0" borderId="0" applyFont="0" applyFill="0" applyBorder="0" applyAlignment="0" applyProtection="0"/>
  </cellStyleXfs>
  <cellXfs count="399">
    <xf numFmtId="0" fontId="0" fillId="0" borderId="0" xfId="0"/>
    <xf numFmtId="49" fontId="2" fillId="0" borderId="0" xfId="12" applyNumberFormat="1" applyFont="1" applyAlignment="1">
      <alignment vertical="center" wrapText="1"/>
    </xf>
    <xf numFmtId="4" fontId="3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horizontal="left" vertical="center" wrapText="1"/>
    </xf>
    <xf numFmtId="49" fontId="2" fillId="0" borderId="1" xfId="12" applyNumberFormat="1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7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12" applyNumberFormat="1" applyFont="1" applyBorder="1" applyAlignment="1">
      <alignment horizontal="right" vertical="center" wrapText="1"/>
    </xf>
    <xf numFmtId="4" fontId="2" fillId="0" borderId="1" xfId="12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right" vertical="center" wrapText="1"/>
    </xf>
    <xf numFmtId="4" fontId="2" fillId="0" borderId="1" xfId="12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1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12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6" fillId="0" borderId="0" xfId="12" applyNumberFormat="1" applyFont="1" applyAlignment="1">
      <alignment vertical="center" wrapText="1"/>
    </xf>
    <xf numFmtId="4" fontId="3" fillId="0" borderId="1" xfId="12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 wrapText="1"/>
    </xf>
    <xf numFmtId="0" fontId="2" fillId="0" borderId="2" xfId="11" applyFont="1" applyBorder="1" applyAlignment="1">
      <alignment vertical="center" wrapText="1"/>
    </xf>
    <xf numFmtId="0" fontId="2" fillId="0" borderId="1" xfId="11" applyFont="1" applyBorder="1" applyAlignment="1">
      <alignment vertical="center" wrapText="1"/>
    </xf>
    <xf numFmtId="4" fontId="2" fillId="0" borderId="1" xfId="11" applyNumberFormat="1" applyFont="1" applyBorder="1" applyAlignment="1">
      <alignment vertical="center" wrapText="1"/>
    </xf>
    <xf numFmtId="49" fontId="2" fillId="0" borderId="1" xfId="12" applyNumberFormat="1" applyFont="1" applyBorder="1" applyAlignment="1">
      <alignment vertical="center" wrapText="1"/>
    </xf>
    <xf numFmtId="4" fontId="2" fillId="2" borderId="1" xfId="12" applyNumberFormat="1" applyFont="1" applyFill="1" applyBorder="1" applyAlignment="1">
      <alignment vertical="center" wrapText="1"/>
    </xf>
    <xf numFmtId="164" fontId="2" fillId="0" borderId="1" xfId="12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1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1" xfId="12" applyNumberFormat="1" applyFont="1" applyBorder="1" applyAlignment="1">
      <alignment horizontal="center" vertical="center" wrapText="1"/>
    </xf>
    <xf numFmtId="49" fontId="2" fillId="0" borderId="1" xfId="7" applyNumberFormat="1" applyFont="1" applyBorder="1" applyAlignment="1">
      <alignment horizontal="center" vertical="center"/>
    </xf>
    <xf numFmtId="1" fontId="2" fillId="0" borderId="1" xfId="7" applyNumberFormat="1" applyFont="1" applyBorder="1" applyAlignment="1">
      <alignment horizontal="left" vertical="center" wrapText="1"/>
    </xf>
    <xf numFmtId="0" fontId="2" fillId="0" borderId="1" xfId="7" applyFont="1" applyBorder="1" applyAlignment="1">
      <alignment horizontal="center" vertical="center" wrapText="1"/>
    </xf>
    <xf numFmtId="4" fontId="2" fillId="0" borderId="1" xfId="7" applyNumberFormat="1" applyFont="1" applyBorder="1" applyAlignment="1">
      <alignment horizontal="center" vertical="center" wrapText="1"/>
    </xf>
    <xf numFmtId="165" fontId="2" fillId="0" borderId="1" xfId="7" applyNumberFormat="1" applyFont="1" applyBorder="1" applyAlignment="1">
      <alignment horizontal="center" vertical="center" wrapText="1"/>
    </xf>
    <xf numFmtId="166" fontId="2" fillId="0" borderId="1" xfId="7" applyNumberFormat="1" applyFont="1" applyBorder="1" applyAlignment="1">
      <alignment horizontal="center" vertical="center" wrapText="1"/>
    </xf>
    <xf numFmtId="2" fontId="2" fillId="0" borderId="1" xfId="7" applyNumberFormat="1" applyFont="1" applyBorder="1" applyAlignment="1">
      <alignment horizontal="center" vertical="center" wrapText="1"/>
    </xf>
    <xf numFmtId="4" fontId="10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7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0" xfId="12" applyNumberFormat="1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1" xfId="12" applyNumberFormat="1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4" fontId="3" fillId="2" borderId="1" xfId="1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12" applyNumberFormat="1" applyFont="1" applyFill="1" applyBorder="1" applyAlignment="1">
      <alignment horizontal="right" vertical="center" wrapText="1"/>
    </xf>
    <xf numFmtId="4" fontId="3" fillId="2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3" borderId="1" xfId="1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2" fillId="3" borderId="1" xfId="7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0" xfId="12" applyNumberFormat="1" applyFont="1" applyFill="1" applyAlignment="1">
      <alignment vertical="center" wrapText="1"/>
    </xf>
    <xf numFmtId="4" fontId="3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12" applyNumberFormat="1" applyFont="1" applyFill="1" applyBorder="1" applyAlignment="1">
      <alignment vertical="center" wrapText="1"/>
    </xf>
    <xf numFmtId="49" fontId="11" fillId="0" borderId="1" xfId="12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7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horizontal="right" vertical="center" wrapText="1"/>
    </xf>
    <xf numFmtId="49" fontId="13" fillId="4" borderId="1" xfId="1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4" fillId="4" borderId="1" xfId="7" applyNumberFormat="1" applyFont="1" applyFill="1" applyBorder="1" applyAlignment="1">
      <alignment horizontal="center" vertical="center" wrapText="1"/>
    </xf>
    <xf numFmtId="4" fontId="13" fillId="4" borderId="1" xfId="12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3" fillId="4" borderId="0" xfId="12" applyNumberFormat="1" applyFont="1" applyFill="1" applyAlignment="1">
      <alignment vertical="center" wrapText="1"/>
    </xf>
    <xf numFmtId="49" fontId="14" fillId="4" borderId="1" xfId="12" applyNumberFormat="1" applyFont="1" applyFill="1" applyBorder="1" applyAlignment="1">
      <alignment horizontal="center" vertical="center" wrapText="1"/>
    </xf>
    <xf numFmtId="4" fontId="14" fillId="4" borderId="1" xfId="12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12" applyNumberFormat="1" applyFont="1" applyFill="1" applyBorder="1" applyAlignment="1">
      <alignment horizontal="right" vertical="center" wrapText="1"/>
    </xf>
    <xf numFmtId="4" fontId="14" fillId="4" borderId="1" xfId="12" applyNumberFormat="1" applyFont="1" applyFill="1" applyBorder="1" applyAlignment="1">
      <alignment vertical="center" wrapText="1"/>
    </xf>
    <xf numFmtId="4" fontId="14" fillId="4" borderId="0" xfId="12" applyNumberFormat="1" applyFont="1" applyFill="1" applyAlignment="1">
      <alignment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4" fontId="14" fillId="4" borderId="1" xfId="11" applyNumberFormat="1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13" fillId="4" borderId="1" xfId="12" applyNumberFormat="1" applyFont="1" applyFill="1" applyBorder="1" applyAlignment="1">
      <alignment vertical="center" wrapText="1"/>
    </xf>
    <xf numFmtId="4" fontId="13" fillId="4" borderId="0" xfId="0" applyNumberFormat="1" applyFont="1" applyFill="1" applyAlignment="1">
      <alignment vertical="center" wrapText="1"/>
    </xf>
    <xf numFmtId="4" fontId="15" fillId="4" borderId="0" xfId="12" applyNumberFormat="1" applyFont="1" applyFill="1" applyAlignment="1">
      <alignment vertical="center" wrapText="1"/>
    </xf>
    <xf numFmtId="4" fontId="13" fillId="4" borderId="1" xfId="12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7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3" borderId="1" xfId="12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12" applyNumberFormat="1" applyFont="1" applyAlignment="1">
      <alignment horizontal="center" vertical="center" wrapText="1"/>
    </xf>
    <xf numFmtId="49" fontId="15" fillId="0" borderId="1" xfId="12" applyNumberFormat="1" applyFont="1" applyBorder="1" applyAlignment="1">
      <alignment horizontal="center" vertical="center" wrapText="1"/>
    </xf>
    <xf numFmtId="4" fontId="15" fillId="0" borderId="1" xfId="12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7" applyNumberFormat="1" applyFont="1" applyBorder="1" applyAlignment="1">
      <alignment horizontal="center" vertical="center" wrapText="1"/>
    </xf>
    <xf numFmtId="4" fontId="15" fillId="0" borderId="1" xfId="12" applyNumberFormat="1" applyFont="1" applyBorder="1" applyAlignment="1">
      <alignment vertical="center" wrapText="1"/>
    </xf>
    <xf numFmtId="4" fontId="15" fillId="0" borderId="0" xfId="12" applyNumberFormat="1" applyFont="1" applyAlignment="1">
      <alignment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4" fontId="2" fillId="2" borderId="1" xfId="12" applyNumberFormat="1" applyFont="1" applyFill="1" applyBorder="1" applyAlignment="1">
      <alignment horizontal="right" vertical="center" wrapText="1"/>
    </xf>
    <xf numFmtId="4" fontId="2" fillId="2" borderId="0" xfId="12" applyNumberFormat="1" applyFont="1" applyFill="1" applyAlignment="1">
      <alignment vertical="center" wrapText="1"/>
    </xf>
    <xf numFmtId="4" fontId="2" fillId="0" borderId="0" xfId="12" applyNumberFormat="1" applyFont="1" applyAlignment="1">
      <alignment horizontal="right" vertical="center" wrapText="1"/>
    </xf>
    <xf numFmtId="4" fontId="11" fillId="0" borderId="1" xfId="12" quotePrefix="1" applyNumberFormat="1" applyFont="1" applyBorder="1" applyAlignment="1">
      <alignment horizontal="right" vertical="center" wrapText="1"/>
    </xf>
    <xf numFmtId="4" fontId="16" fillId="0" borderId="1" xfId="12" applyNumberFormat="1" applyFont="1" applyBorder="1" applyAlignment="1">
      <alignment horizontal="right" vertical="center" wrapText="1"/>
    </xf>
    <xf numFmtId="49" fontId="2" fillId="0" borderId="1" xfId="12" applyNumberFormat="1" applyFont="1" applyBorder="1" applyAlignment="1">
      <alignment horizontal="right" vertical="center" wrapText="1"/>
    </xf>
    <xf numFmtId="4" fontId="3" fillId="3" borderId="1" xfId="12" applyNumberFormat="1" applyFont="1" applyFill="1" applyBorder="1" applyAlignment="1">
      <alignment horizontal="right" vertical="center" wrapText="1"/>
    </xf>
    <xf numFmtId="3" fontId="2" fillId="0" borderId="1" xfId="7" applyNumberFormat="1" applyFont="1" applyBorder="1" applyAlignment="1">
      <alignment horizontal="right" vertical="center" wrapText="1"/>
    </xf>
    <xf numFmtId="3" fontId="2" fillId="0" borderId="0" xfId="7" applyNumberFormat="1" applyFont="1" applyAlignment="1">
      <alignment horizontal="center" vertical="center" wrapText="1"/>
    </xf>
    <xf numFmtId="49" fontId="2" fillId="4" borderId="1" xfId="12" applyNumberFormat="1" applyFont="1" applyFill="1" applyBorder="1" applyAlignment="1">
      <alignment horizontal="center" vertical="center" wrapText="1"/>
    </xf>
    <xf numFmtId="4" fontId="2" fillId="4" borderId="1" xfId="1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7" applyNumberFormat="1" applyFont="1" applyFill="1" applyBorder="1" applyAlignment="1">
      <alignment horizontal="center" vertical="center" wrapText="1"/>
    </xf>
    <xf numFmtId="4" fontId="2" fillId="4" borderId="1" xfId="12" applyNumberFormat="1" applyFont="1" applyFill="1" applyBorder="1" applyAlignment="1">
      <alignment horizontal="right" vertical="center" wrapText="1"/>
    </xf>
    <xf numFmtId="4" fontId="2" fillId="4" borderId="0" xfId="12" applyNumberFormat="1" applyFont="1" applyFill="1" applyAlignment="1">
      <alignment vertical="center" wrapText="1"/>
    </xf>
    <xf numFmtId="3" fontId="3" fillId="0" borderId="1" xfId="7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5" borderId="1" xfId="12" applyNumberFormat="1" applyFont="1" applyFill="1" applyBorder="1" applyAlignment="1">
      <alignment vertical="center" wrapText="1"/>
    </xf>
    <xf numFmtId="49" fontId="3" fillId="4" borderId="1" xfId="12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7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horizontal="right" vertical="center" wrapText="1"/>
    </xf>
    <xf numFmtId="4" fontId="3" fillId="4" borderId="0" xfId="12" applyNumberFormat="1" applyFont="1" applyFill="1" applyAlignment="1">
      <alignment vertical="center" wrapText="1"/>
    </xf>
    <xf numFmtId="4" fontId="2" fillId="4" borderId="1" xfId="12" applyNumberFormat="1" applyFont="1" applyFill="1" applyBorder="1" applyAlignment="1">
      <alignment horizontal="left" vertical="center" wrapText="1"/>
    </xf>
    <xf numFmtId="4" fontId="2" fillId="5" borderId="0" xfId="12" applyNumberFormat="1" applyFont="1" applyFill="1" applyAlignment="1">
      <alignment vertical="center" wrapText="1"/>
    </xf>
    <xf numFmtId="4" fontId="2" fillId="5" borderId="1" xfId="12" applyNumberFormat="1" applyFont="1" applyFill="1" applyBorder="1" applyAlignment="1">
      <alignment horizontal="center" vertical="center" wrapText="1"/>
    </xf>
    <xf numFmtId="4" fontId="3" fillId="5" borderId="1" xfId="12" applyNumberFormat="1" applyFont="1" applyFill="1" applyBorder="1" applyAlignment="1">
      <alignment horizontal="right" vertical="center" wrapText="1"/>
    </xf>
    <xf numFmtId="4" fontId="11" fillId="5" borderId="1" xfId="12" applyNumberFormat="1" applyFont="1" applyFill="1" applyBorder="1" applyAlignment="1">
      <alignment vertical="center" wrapText="1"/>
    </xf>
    <xf numFmtId="4" fontId="3" fillId="5" borderId="1" xfId="12" applyNumberFormat="1" applyFont="1" applyFill="1" applyBorder="1" applyAlignment="1">
      <alignment vertical="center" wrapText="1"/>
    </xf>
    <xf numFmtId="4" fontId="15" fillId="5" borderId="1" xfId="12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6" fillId="5" borderId="1" xfId="12" applyNumberFormat="1" applyFont="1" applyFill="1" applyBorder="1" applyAlignment="1">
      <alignment vertical="center" wrapText="1"/>
    </xf>
    <xf numFmtId="49" fontId="2" fillId="4" borderId="1" xfId="12" applyNumberFormat="1" applyFont="1" applyFill="1" applyBorder="1" applyAlignment="1">
      <alignment horizontal="right" vertical="center" wrapText="1"/>
    </xf>
    <xf numFmtId="167" fontId="3" fillId="0" borderId="1" xfId="12" applyNumberFormat="1" applyFont="1" applyBorder="1" applyAlignment="1">
      <alignment horizontal="right" vertical="center" wrapText="1"/>
    </xf>
    <xf numFmtId="167" fontId="3" fillId="0" borderId="1" xfId="12" applyNumberFormat="1" applyFont="1" applyBorder="1" applyAlignment="1">
      <alignment horizontal="center" vertical="center" wrapText="1"/>
    </xf>
    <xf numFmtId="3" fontId="3" fillId="2" borderId="1" xfId="7" applyNumberFormat="1" applyFont="1" applyFill="1" applyBorder="1" applyAlignment="1">
      <alignment horizontal="center" vertical="center" wrapText="1"/>
    </xf>
    <xf numFmtId="3" fontId="3" fillId="3" borderId="1" xfId="7" applyNumberFormat="1" applyFont="1" applyFill="1" applyBorder="1" applyAlignment="1">
      <alignment horizontal="center" vertical="center" wrapText="1"/>
    </xf>
    <xf numFmtId="4" fontId="3" fillId="0" borderId="1" xfId="7" applyNumberFormat="1" applyFont="1" applyBorder="1" applyAlignment="1">
      <alignment horizontal="center" vertical="center" wrapText="1"/>
    </xf>
    <xf numFmtId="4" fontId="11" fillId="0" borderId="0" xfId="12" applyNumberFormat="1" applyFont="1" applyAlignment="1">
      <alignment vertical="center" wrapText="1"/>
    </xf>
    <xf numFmtId="4" fontId="15" fillId="2" borderId="1" xfId="12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17" fillId="0" borderId="0" xfId="12" applyNumberFormat="1" applyFont="1" applyAlignment="1">
      <alignment vertical="center" wrapText="1"/>
    </xf>
    <xf numFmtId="4" fontId="18" fillId="0" borderId="0" xfId="12" applyNumberFormat="1" applyFont="1" applyAlignment="1">
      <alignment vertical="center" wrapText="1"/>
    </xf>
    <xf numFmtId="4" fontId="17" fillId="0" borderId="0" xfId="12" applyNumberFormat="1" applyFont="1" applyAlignment="1">
      <alignment vertical="center" wrapText="1"/>
    </xf>
    <xf numFmtId="4" fontId="17" fillId="5" borderId="0" xfId="12" applyNumberFormat="1" applyFont="1" applyFill="1" applyAlignment="1">
      <alignment vertical="center" wrapText="1"/>
    </xf>
    <xf numFmtId="4" fontId="17" fillId="0" borderId="0" xfId="12" applyNumberFormat="1" applyFont="1" applyAlignment="1">
      <alignment horizontal="center" vertical="center" wrapText="1"/>
    </xf>
    <xf numFmtId="4" fontId="17" fillId="0" borderId="1" xfId="12" applyNumberFormat="1" applyFont="1" applyBorder="1" applyAlignment="1">
      <alignment horizontal="center" vertical="center" wrapText="1"/>
    </xf>
    <xf numFmtId="4" fontId="17" fillId="5" borderId="1" xfId="12" applyNumberFormat="1" applyFont="1" applyFill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right" vertical="center" wrapText="1"/>
    </xf>
    <xf numFmtId="49" fontId="18" fillId="3" borderId="1" xfId="1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3" fontId="17" fillId="3" borderId="1" xfId="7" applyNumberFormat="1" applyFont="1" applyFill="1" applyBorder="1" applyAlignment="1">
      <alignment horizontal="center" vertical="center" wrapText="1"/>
    </xf>
    <xf numFmtId="3" fontId="18" fillId="3" borderId="1" xfId="7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0" xfId="12" applyNumberFormat="1" applyFont="1" applyFill="1" applyAlignment="1">
      <alignment vertical="center" wrapText="1"/>
    </xf>
    <xf numFmtId="49" fontId="18" fillId="2" borderId="1" xfId="1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17" fillId="2" borderId="1" xfId="7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horizontal="right" vertical="center" wrapText="1"/>
    </xf>
    <xf numFmtId="4" fontId="18" fillId="2" borderId="0" xfId="12" applyNumberFormat="1" applyFont="1" applyFill="1" applyAlignment="1">
      <alignment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7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vertical="center" wrapText="1"/>
    </xf>
    <xf numFmtId="4" fontId="17" fillId="5" borderId="1" xfId="12" applyNumberFormat="1" applyFont="1" applyFill="1" applyBorder="1" applyAlignment="1">
      <alignment vertical="center" wrapText="1"/>
    </xf>
    <xf numFmtId="4" fontId="17" fillId="4" borderId="1" xfId="12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1" xfId="11" applyNumberFormat="1" applyFont="1" applyBorder="1" applyAlignment="1">
      <alignment horizontal="right" vertical="center" wrapText="1"/>
    </xf>
    <xf numFmtId="49" fontId="19" fillId="0" borderId="1" xfId="12" applyNumberFormat="1" applyFont="1" applyBorder="1" applyAlignment="1">
      <alignment horizontal="center" vertical="center" wrapText="1"/>
    </xf>
    <xf numFmtId="4" fontId="19" fillId="0" borderId="1" xfId="12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7" applyNumberFormat="1" applyFont="1" applyBorder="1" applyAlignment="1">
      <alignment horizontal="center" vertical="center" wrapText="1"/>
    </xf>
    <xf numFmtId="4" fontId="19" fillId="0" borderId="1" xfId="12" applyNumberFormat="1" applyFont="1" applyBorder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3" fontId="18" fillId="2" borderId="1" xfId="7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vertical="center" wrapText="1"/>
    </xf>
    <xf numFmtId="4" fontId="18" fillId="2" borderId="0" xfId="0" applyNumberFormat="1" applyFont="1" applyFill="1" applyAlignment="1">
      <alignment vertical="center" wrapText="1"/>
    </xf>
    <xf numFmtId="4" fontId="19" fillId="0" borderId="1" xfId="12" applyNumberFormat="1" applyFont="1" applyBorder="1" applyAlignment="1">
      <alignment horizontal="left" vertical="center" wrapText="1"/>
    </xf>
    <xf numFmtId="4" fontId="20" fillId="0" borderId="0" xfId="12" applyNumberFormat="1" applyFont="1" applyAlignment="1">
      <alignment vertical="center" wrapText="1"/>
    </xf>
    <xf numFmtId="49" fontId="21" fillId="0" borderId="1" xfId="12" applyNumberFormat="1" applyFont="1" applyBorder="1" applyAlignment="1">
      <alignment horizontal="center" vertical="center" wrapText="1"/>
    </xf>
    <xf numFmtId="4" fontId="21" fillId="0" borderId="1" xfId="12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1" xfId="7" applyNumberFormat="1" applyFont="1" applyBorder="1" applyAlignment="1">
      <alignment horizontal="center" vertical="center" wrapText="1"/>
    </xf>
    <xf numFmtId="4" fontId="21" fillId="0" borderId="1" xfId="12" applyNumberFormat="1" applyFont="1" applyBorder="1" applyAlignment="1">
      <alignment vertical="center" wrapText="1"/>
    </xf>
    <xf numFmtId="4" fontId="21" fillId="0" borderId="0" xfId="12" applyNumberFormat="1" applyFont="1" applyAlignment="1">
      <alignment vertical="center" wrapText="1"/>
    </xf>
    <xf numFmtId="4" fontId="18" fillId="2" borderId="1" xfId="1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4" borderId="1" xfId="12" applyNumberFormat="1" applyFont="1" applyFill="1" applyBorder="1" applyAlignment="1">
      <alignment horizontal="center" vertical="center" wrapText="1"/>
    </xf>
    <xf numFmtId="4" fontId="17" fillId="4" borderId="1" xfId="12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3" fontId="17" fillId="4" borderId="1" xfId="7" applyNumberFormat="1" applyFont="1" applyFill="1" applyBorder="1" applyAlignment="1">
      <alignment horizontal="center" vertical="center" wrapText="1"/>
    </xf>
    <xf numFmtId="4" fontId="17" fillId="4" borderId="1" xfId="12" applyNumberFormat="1" applyFont="1" applyFill="1" applyBorder="1" applyAlignment="1">
      <alignment vertical="center" wrapText="1"/>
    </xf>
    <xf numFmtId="4" fontId="18" fillId="4" borderId="1" xfId="12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17" fillId="4" borderId="0" xfId="12" applyNumberFormat="1" applyFont="1" applyFill="1" applyAlignment="1">
      <alignment vertical="center" wrapText="1"/>
    </xf>
    <xf numFmtId="49" fontId="18" fillId="0" borderId="1" xfId="12" applyNumberFormat="1" applyFont="1" applyBorder="1" applyAlignment="1">
      <alignment horizontal="center" vertical="center" wrapText="1"/>
    </xf>
    <xf numFmtId="4" fontId="18" fillId="0" borderId="1" xfId="12" applyNumberFormat="1" applyFont="1" applyBorder="1" applyAlignment="1">
      <alignment horizontal="left" vertical="center" wrapText="1"/>
    </xf>
    <xf numFmtId="4" fontId="18" fillId="0" borderId="1" xfId="12" applyNumberFormat="1" applyFont="1" applyBorder="1" applyAlignment="1">
      <alignment horizontal="right" vertical="center" wrapText="1"/>
    </xf>
    <xf numFmtId="4" fontId="17" fillId="0" borderId="1" xfId="1" applyNumberFormat="1" applyFont="1" applyBorder="1" applyAlignment="1">
      <alignment vertical="center" wrapText="1"/>
    </xf>
    <xf numFmtId="4" fontId="18" fillId="0" borderId="1" xfId="1" applyNumberFormat="1" applyFont="1" applyBorder="1" applyAlignment="1">
      <alignment vertical="center" wrapText="1"/>
    </xf>
    <xf numFmtId="4" fontId="18" fillId="0" borderId="1" xfId="12" applyNumberFormat="1" applyFont="1" applyBorder="1" applyAlignment="1">
      <alignment vertical="center" wrapText="1"/>
    </xf>
    <xf numFmtId="0" fontId="17" fillId="0" borderId="2" xfId="11" applyFont="1" applyBorder="1" applyAlignment="1">
      <alignment vertical="center" wrapText="1"/>
    </xf>
    <xf numFmtId="0" fontId="17" fillId="0" borderId="1" xfId="11" applyFont="1" applyBorder="1" applyAlignment="1">
      <alignment vertical="center" wrapText="1"/>
    </xf>
    <xf numFmtId="4" fontId="17" fillId="0" borderId="1" xfId="11" applyNumberFormat="1" applyFont="1" applyBorder="1" applyAlignment="1">
      <alignment vertical="center" wrapText="1"/>
    </xf>
    <xf numFmtId="49" fontId="18" fillId="4" borderId="1" xfId="12" applyNumberFormat="1" applyFont="1" applyFill="1" applyBorder="1" applyAlignment="1">
      <alignment horizontal="center" vertical="center" wrapText="1"/>
    </xf>
    <xf numFmtId="4" fontId="18" fillId="4" borderId="1" xfId="12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7" applyNumberFormat="1" applyFont="1" applyFill="1" applyBorder="1" applyAlignment="1">
      <alignment horizontal="center" vertical="center" wrapText="1"/>
    </xf>
    <xf numFmtId="4" fontId="18" fillId="4" borderId="0" xfId="12" applyNumberFormat="1" applyFont="1" applyFill="1" applyAlignment="1">
      <alignment vertical="center" wrapText="1"/>
    </xf>
    <xf numFmtId="49" fontId="17" fillId="2" borderId="1" xfId="12" applyNumberFormat="1" applyFont="1" applyFill="1" applyBorder="1" applyAlignment="1">
      <alignment horizontal="center" vertical="center" wrapText="1"/>
    </xf>
    <xf numFmtId="4" fontId="17" fillId="2" borderId="1" xfId="12" applyNumberFormat="1" applyFont="1" applyFill="1" applyBorder="1" applyAlignment="1">
      <alignment vertical="center" wrapText="1"/>
    </xf>
    <xf numFmtId="4" fontId="17" fillId="2" borderId="0" xfId="12" applyNumberFormat="1" applyFont="1" applyFill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7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9" fontId="17" fillId="0" borderId="1" xfId="12" applyNumberFormat="1" applyFont="1" applyBorder="1" applyAlignment="1">
      <alignment vertical="center" wrapText="1"/>
    </xf>
    <xf numFmtId="4" fontId="18" fillId="3" borderId="1" xfId="1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18" fillId="3" borderId="1" xfId="12" applyNumberFormat="1" applyFont="1" applyFill="1" applyBorder="1" applyAlignment="1">
      <alignment vertical="center" wrapText="1"/>
    </xf>
    <xf numFmtId="164" fontId="17" fillId="0" borderId="1" xfId="12" applyNumberFormat="1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0" xfId="0" applyNumberFormat="1" applyFont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12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0" xfId="12" applyNumberFormat="1" applyFont="1" applyAlignment="1">
      <alignment horizontal="center" vertical="center" wrapText="1"/>
    </xf>
    <xf numFmtId="4" fontId="17" fillId="0" borderId="0" xfId="12" applyNumberFormat="1" applyFont="1" applyAlignment="1">
      <alignment horizontal="left" vertical="center" wrapText="1"/>
    </xf>
    <xf numFmtId="49" fontId="17" fillId="0" borderId="1" xfId="7" applyNumberFormat="1" applyFont="1" applyBorder="1" applyAlignment="1">
      <alignment horizontal="center" vertical="center"/>
    </xf>
    <xf numFmtId="1" fontId="17" fillId="0" borderId="1" xfId="7" applyNumberFormat="1" applyFont="1" applyBorder="1" applyAlignment="1">
      <alignment horizontal="left" vertical="center" wrapText="1"/>
    </xf>
    <xf numFmtId="0" fontId="17" fillId="0" borderId="1" xfId="7" applyFont="1" applyBorder="1" applyAlignment="1">
      <alignment horizontal="center" vertical="center" wrapText="1"/>
    </xf>
    <xf numFmtId="4" fontId="17" fillId="0" borderId="1" xfId="7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3" fontId="17" fillId="5" borderId="1" xfId="7" applyNumberFormat="1" applyFont="1" applyFill="1" applyBorder="1" applyAlignment="1">
      <alignment horizontal="center" vertical="center" wrapText="1"/>
    </xf>
    <xf numFmtId="3" fontId="17" fillId="0" borderId="0" xfId="7" applyNumberFormat="1" applyFont="1" applyAlignment="1">
      <alignment horizontal="center" vertical="center" wrapText="1"/>
    </xf>
    <xf numFmtId="166" fontId="17" fillId="0" borderId="1" xfId="7" applyNumberFormat="1" applyFont="1" applyBorder="1" applyAlignment="1">
      <alignment horizontal="center" vertical="center" wrapText="1"/>
    </xf>
    <xf numFmtId="2" fontId="17" fillId="0" borderId="1" xfId="7" applyNumberFormat="1" applyFont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4" fontId="17" fillId="5" borderId="0" xfId="12" applyNumberFormat="1" applyFont="1" applyFill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4" fontId="18" fillId="3" borderId="0" xfId="12" applyNumberFormat="1" applyFont="1" applyFill="1" applyAlignment="1">
      <alignment horizontal="center" vertical="center" wrapText="1"/>
    </xf>
    <xf numFmtId="3" fontId="18" fillId="2" borderId="1" xfId="12" applyNumberFormat="1" applyFont="1" applyFill="1" applyBorder="1" applyAlignment="1">
      <alignment horizontal="center" vertical="center" wrapText="1"/>
    </xf>
    <xf numFmtId="3" fontId="18" fillId="5" borderId="1" xfId="12" applyNumberFormat="1" applyFont="1" applyFill="1" applyBorder="1" applyAlignment="1">
      <alignment horizontal="center" vertical="center" wrapText="1"/>
    </xf>
    <xf numFmtId="4" fontId="18" fillId="2" borderId="0" xfId="12" applyNumberFormat="1" applyFont="1" applyFill="1" applyAlignment="1">
      <alignment horizontal="center" vertical="center" wrapText="1"/>
    </xf>
    <xf numFmtId="3" fontId="17" fillId="0" borderId="1" xfId="12" applyNumberFormat="1" applyFont="1" applyBorder="1" applyAlignment="1">
      <alignment horizontal="center" vertical="center" wrapText="1"/>
    </xf>
    <xf numFmtId="3" fontId="17" fillId="5" borderId="1" xfId="12" applyNumberFormat="1" applyFont="1" applyFill="1" applyBorder="1" applyAlignment="1">
      <alignment horizontal="center" vertical="center" wrapText="1"/>
    </xf>
    <xf numFmtId="3" fontId="17" fillId="4" borderId="1" xfId="12" applyNumberFormat="1" applyFont="1" applyFill="1" applyBorder="1" applyAlignment="1">
      <alignment horizontal="center" vertical="center" wrapText="1"/>
    </xf>
    <xf numFmtId="3" fontId="19" fillId="0" borderId="1" xfId="12" applyNumberFormat="1" applyFont="1" applyBorder="1" applyAlignment="1">
      <alignment horizontal="center" vertical="center" wrapText="1"/>
    </xf>
    <xf numFmtId="3" fontId="19" fillId="5" borderId="1" xfId="12" applyNumberFormat="1" applyFont="1" applyFill="1" applyBorder="1" applyAlignment="1">
      <alignment horizontal="center" vertical="center" wrapText="1"/>
    </xf>
    <xf numFmtId="3" fontId="19" fillId="0" borderId="1" xfId="12" quotePrefix="1" applyNumberFormat="1" applyFont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4" fontId="20" fillId="0" borderId="0" xfId="12" applyNumberFormat="1" applyFont="1" applyAlignment="1">
      <alignment horizontal="center" vertical="center" wrapText="1"/>
    </xf>
    <xf numFmtId="3" fontId="21" fillId="0" borderId="1" xfId="12" applyNumberFormat="1" applyFont="1" applyBorder="1" applyAlignment="1">
      <alignment horizontal="center" vertical="center" wrapText="1"/>
    </xf>
    <xf numFmtId="3" fontId="21" fillId="5" borderId="1" xfId="12" applyNumberFormat="1" applyFont="1" applyFill="1" applyBorder="1" applyAlignment="1">
      <alignment horizontal="center" vertical="center" wrapText="1"/>
    </xf>
    <xf numFmtId="3" fontId="22" fillId="0" borderId="1" xfId="12" applyNumberFormat="1" applyFont="1" applyBorder="1" applyAlignment="1">
      <alignment horizontal="center" vertical="center" wrapText="1"/>
    </xf>
    <xf numFmtId="4" fontId="21" fillId="0" borderId="0" xfId="12" applyNumberFormat="1" applyFont="1" applyAlignment="1">
      <alignment horizontal="center" vertical="center" wrapText="1"/>
    </xf>
    <xf numFmtId="3" fontId="21" fillId="2" borderId="1" xfId="12" applyNumberFormat="1" applyFont="1" applyFill="1" applyBorder="1" applyAlignment="1">
      <alignment horizontal="center" vertical="center" wrapText="1"/>
    </xf>
    <xf numFmtId="3" fontId="18" fillId="4" borderId="1" xfId="12" applyNumberFormat="1" applyFont="1" applyFill="1" applyBorder="1" applyAlignment="1">
      <alignment horizontal="center" vertical="center" wrapText="1"/>
    </xf>
    <xf numFmtId="4" fontId="17" fillId="4" borderId="0" xfId="12" applyNumberFormat="1" applyFont="1" applyFill="1" applyAlignment="1">
      <alignment horizontal="center" vertical="center" wrapText="1"/>
    </xf>
    <xf numFmtId="3" fontId="18" fillId="0" borderId="1" xfId="12" applyNumberFormat="1" applyFont="1" applyBorder="1" applyAlignment="1">
      <alignment horizontal="center" vertical="center" wrapText="1"/>
    </xf>
    <xf numFmtId="4" fontId="18" fillId="4" borderId="0" xfId="12" applyNumberFormat="1" applyFont="1" applyFill="1" applyAlignment="1">
      <alignment horizontal="center" vertical="center" wrapText="1"/>
    </xf>
    <xf numFmtId="3" fontId="17" fillId="2" borderId="1" xfId="12" applyNumberFormat="1" applyFont="1" applyFill="1" applyBorder="1" applyAlignment="1">
      <alignment horizontal="center" vertical="center" wrapText="1"/>
    </xf>
    <xf numFmtId="4" fontId="17" fillId="2" borderId="0" xfId="12" applyNumberFormat="1" applyFont="1" applyFill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3" borderId="1" xfId="12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horizontal="center" vertical="center" wrapText="1"/>
    </xf>
    <xf numFmtId="4" fontId="18" fillId="5" borderId="1" xfId="12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" fontId="20" fillId="0" borderId="1" xfId="12" applyNumberFormat="1" applyFont="1" applyBorder="1" applyAlignment="1">
      <alignment horizontal="center" vertical="center" wrapText="1"/>
    </xf>
    <xf numFmtId="4" fontId="20" fillId="5" borderId="1" xfId="12" applyNumberFormat="1" applyFont="1" applyFill="1" applyBorder="1" applyAlignment="1">
      <alignment horizontal="center" vertical="center" wrapText="1"/>
    </xf>
    <xf numFmtId="4" fontId="19" fillId="0" borderId="0" xfId="12" applyNumberFormat="1" applyFont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3" fontId="24" fillId="0" borderId="1" xfId="7" applyNumberFormat="1" applyFont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25" fillId="0" borderId="1" xfId="7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12" applyNumberFormat="1" applyFont="1" applyBorder="1" applyAlignment="1">
      <alignment horizontal="center" vertical="center" wrapText="1"/>
    </xf>
    <xf numFmtId="167" fontId="25" fillId="0" borderId="1" xfId="12" applyNumberFormat="1" applyFont="1" applyBorder="1" applyAlignment="1">
      <alignment horizontal="center" vertical="center" wrapText="1"/>
    </xf>
    <xf numFmtId="4" fontId="25" fillId="0" borderId="1" xfId="12" applyNumberFormat="1" applyFont="1" applyBorder="1" applyAlignment="1">
      <alignment vertical="center" wrapText="1"/>
    </xf>
    <xf numFmtId="4" fontId="25" fillId="5" borderId="1" xfId="12" applyNumberFormat="1" applyFont="1" applyFill="1" applyBorder="1" applyAlignment="1">
      <alignment vertical="center" wrapText="1"/>
    </xf>
    <xf numFmtId="167" fontId="25" fillId="0" borderId="1" xfId="12" applyNumberFormat="1" applyFont="1" applyBorder="1" applyAlignment="1">
      <alignment horizontal="right" vertical="center" wrapText="1"/>
    </xf>
    <xf numFmtId="4" fontId="26" fillId="0" borderId="1" xfId="12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left" vertical="center" wrapText="1"/>
    </xf>
    <xf numFmtId="4" fontId="25" fillId="5" borderId="1" xfId="12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1" xfId="12" applyNumberFormat="1" applyFont="1" applyBorder="1" applyAlignment="1">
      <alignment horizontal="center" vertical="center" wrapText="1"/>
    </xf>
    <xf numFmtId="49" fontId="29" fillId="6" borderId="0" xfId="12" applyNumberFormat="1" applyFont="1" applyFill="1" applyAlignment="1">
      <alignment vertical="center" wrapText="1"/>
    </xf>
    <xf numFmtId="4" fontId="29" fillId="6" borderId="0" xfId="12" applyNumberFormat="1" applyFont="1" applyFill="1" applyAlignment="1">
      <alignment horizontal="left" vertical="center" wrapText="1"/>
    </xf>
    <xf numFmtId="4" fontId="29" fillId="6" borderId="0" xfId="12" applyNumberFormat="1" applyFont="1" applyFill="1" applyAlignment="1">
      <alignment vertical="center" wrapText="1"/>
    </xf>
    <xf numFmtId="49" fontId="29" fillId="6" borderId="1" xfId="12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horizontal="center" vertical="center" wrapText="1"/>
    </xf>
    <xf numFmtId="4" fontId="29" fillId="6" borderId="1" xfId="0" applyNumberFormat="1" applyFont="1" applyFill="1" applyBorder="1" applyAlignment="1">
      <alignment horizontal="right" vertical="center" wrapText="1"/>
    </xf>
    <xf numFmtId="4" fontId="30" fillId="6" borderId="0" xfId="12" applyNumberFormat="1" applyFont="1" applyFill="1" applyAlignment="1">
      <alignment vertical="center" wrapText="1"/>
    </xf>
    <xf numFmtId="0" fontId="29" fillId="6" borderId="1" xfId="0" applyFont="1" applyFill="1" applyBorder="1" applyAlignment="1">
      <alignment horizontal="left" vertical="center" wrapText="1"/>
    </xf>
    <xf numFmtId="4" fontId="29" fillId="6" borderId="1" xfId="12" applyNumberFormat="1" applyFont="1" applyFill="1" applyBorder="1" applyAlignment="1">
      <alignment horizontal="right" vertical="center" wrapText="1"/>
    </xf>
    <xf numFmtId="4" fontId="29" fillId="6" borderId="1" xfId="0" applyNumberFormat="1" applyFont="1" applyFill="1" applyBorder="1" applyAlignment="1">
      <alignment horizontal="left" vertical="center" wrapText="1"/>
    </xf>
    <xf numFmtId="4" fontId="29" fillId="6" borderId="1" xfId="12" applyNumberFormat="1" applyFont="1" applyFill="1" applyBorder="1" applyAlignment="1">
      <alignment horizontal="left" vertical="center" wrapText="1"/>
    </xf>
    <xf numFmtId="4" fontId="29" fillId="6" borderId="1" xfId="12" applyNumberFormat="1" applyFont="1" applyFill="1" applyBorder="1" applyAlignment="1">
      <alignment vertical="center" wrapText="1"/>
    </xf>
    <xf numFmtId="49" fontId="29" fillId="6" borderId="1" xfId="0" applyNumberFormat="1" applyFont="1" applyFill="1" applyBorder="1" applyAlignment="1">
      <alignment horizontal="center" vertical="center" wrapText="1"/>
    </xf>
    <xf numFmtId="4" fontId="30" fillId="6" borderId="0" xfId="0" applyNumberFormat="1" applyFont="1" applyFill="1" applyAlignment="1">
      <alignment vertical="center" wrapText="1"/>
    </xf>
    <xf numFmtId="4" fontId="31" fillId="6" borderId="0" xfId="12" applyNumberFormat="1" applyFont="1" applyFill="1" applyAlignment="1">
      <alignment vertical="center" wrapText="1"/>
    </xf>
    <xf numFmtId="0" fontId="32" fillId="6" borderId="1" xfId="0" applyFont="1" applyFill="1" applyBorder="1" applyAlignment="1">
      <alignment horizontal="left" vertical="center" wrapText="1"/>
    </xf>
    <xf numFmtId="4" fontId="29" fillId="6" borderId="1" xfId="1" applyNumberFormat="1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left" vertical="top" wrapText="1"/>
    </xf>
    <xf numFmtId="4" fontId="33" fillId="6" borderId="0" xfId="12" applyNumberFormat="1" applyFont="1" applyFill="1" applyAlignment="1">
      <alignment vertical="center" wrapText="1"/>
    </xf>
    <xf numFmtId="4" fontId="29" fillId="6" borderId="1" xfId="0" applyNumberFormat="1" applyFont="1" applyFill="1" applyBorder="1" applyAlignment="1">
      <alignment horizontal="center" vertical="center" wrapText="1"/>
    </xf>
    <xf numFmtId="4" fontId="29" fillId="6" borderId="1" xfId="0" applyNumberFormat="1" applyFont="1" applyFill="1" applyBorder="1" applyAlignment="1">
      <alignment vertical="center" wrapText="1"/>
    </xf>
    <xf numFmtId="4" fontId="29" fillId="6" borderId="0" xfId="0" applyNumberFormat="1" applyFont="1" applyFill="1" applyAlignment="1">
      <alignment vertical="center" wrapText="1"/>
    </xf>
    <xf numFmtId="49" fontId="30" fillId="6" borderId="1" xfId="12" applyNumberFormat="1" applyFont="1" applyFill="1" applyBorder="1" applyAlignment="1">
      <alignment horizontal="center" vertical="center" wrapText="1"/>
    </xf>
    <xf numFmtId="4" fontId="30" fillId="6" borderId="1" xfId="1" applyNumberFormat="1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4" fontId="30" fillId="6" borderId="1" xfId="12" applyNumberFormat="1" applyFont="1" applyFill="1" applyBorder="1" applyAlignment="1">
      <alignment vertical="center" wrapText="1"/>
    </xf>
    <xf numFmtId="4" fontId="30" fillId="6" borderId="1" xfId="0" applyNumberFormat="1" applyFont="1" applyFill="1" applyBorder="1" applyAlignment="1">
      <alignment horizontal="right" vertical="center" wrapText="1"/>
    </xf>
    <xf numFmtId="4" fontId="30" fillId="6" borderId="1" xfId="0" applyNumberFormat="1" applyFont="1" applyFill="1" applyBorder="1" applyAlignment="1">
      <alignment horizontal="left" vertical="center" wrapText="1"/>
    </xf>
    <xf numFmtId="4" fontId="2" fillId="0" borderId="0" xfId="12" applyNumberFormat="1" applyFont="1" applyAlignment="1">
      <alignment horizontal="left" vertical="center" wrapText="1"/>
    </xf>
    <xf numFmtId="4" fontId="3" fillId="0" borderId="0" xfId="12" applyNumberFormat="1" applyFont="1" applyAlignment="1">
      <alignment horizontal="center" vertical="center" wrapText="1"/>
    </xf>
    <xf numFmtId="4" fontId="2" fillId="0" borderId="3" xfId="12" applyNumberFormat="1" applyFont="1" applyBorder="1" applyAlignment="1">
      <alignment horizontal="center" vertical="center" wrapText="1"/>
    </xf>
    <xf numFmtId="4" fontId="2" fillId="0" borderId="5" xfId="12" applyNumberFormat="1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center" vertical="center" wrapText="1"/>
    </xf>
    <xf numFmtId="4" fontId="2" fillId="0" borderId="0" xfId="12" applyNumberFormat="1" applyFont="1" applyAlignment="1">
      <alignment horizontal="center" vertical="center" wrapText="1"/>
    </xf>
    <xf numFmtId="4" fontId="2" fillId="0" borderId="4" xfId="12" applyNumberFormat="1" applyFont="1" applyBorder="1" applyAlignment="1">
      <alignment horizontal="center" vertical="center" wrapText="1"/>
    </xf>
    <xf numFmtId="4" fontId="3" fillId="0" borderId="3" xfId="12" applyNumberFormat="1" applyFont="1" applyBorder="1" applyAlignment="1">
      <alignment horizontal="center" vertical="center" wrapText="1"/>
    </xf>
    <xf numFmtId="4" fontId="3" fillId="0" borderId="5" xfId="12" applyNumberFormat="1" applyFont="1" applyBorder="1" applyAlignment="1">
      <alignment horizontal="center" vertical="center" wrapText="1"/>
    </xf>
    <xf numFmtId="49" fontId="9" fillId="0" borderId="0" xfId="12" applyNumberFormat="1" applyFont="1" applyAlignment="1">
      <alignment horizontal="center" vertical="center" wrapText="1"/>
    </xf>
    <xf numFmtId="49" fontId="8" fillId="4" borderId="6" xfId="7" applyNumberFormat="1" applyFont="1" applyFill="1" applyBorder="1" applyAlignment="1">
      <alignment horizontal="left" wrapText="1"/>
    </xf>
    <xf numFmtId="49" fontId="2" fillId="0" borderId="1" xfId="12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0" xfId="12" applyNumberFormat="1" applyFont="1" applyAlignment="1">
      <alignment horizontal="left" vertical="center" wrapText="1"/>
    </xf>
    <xf numFmtId="4" fontId="18" fillId="0" borderId="0" xfId="12" applyNumberFormat="1" applyFont="1" applyAlignment="1">
      <alignment horizontal="center" vertical="center" wrapText="1"/>
    </xf>
    <xf numFmtId="4" fontId="17" fillId="0" borderId="0" xfId="12" applyNumberFormat="1" applyFont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left" vertical="center" wrapText="1"/>
    </xf>
    <xf numFmtId="4" fontId="17" fillId="0" borderId="3" xfId="12" applyNumberFormat="1" applyFont="1" applyBorder="1" applyAlignment="1">
      <alignment horizontal="center" vertical="center" wrapText="1"/>
    </xf>
    <xf numFmtId="4" fontId="17" fillId="0" borderId="4" xfId="12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center" vertical="center" wrapText="1"/>
    </xf>
    <xf numFmtId="49" fontId="17" fillId="0" borderId="0" xfId="12" applyNumberFormat="1" applyFont="1" applyAlignment="1">
      <alignment horizontal="center" vertical="center" wrapText="1"/>
    </xf>
    <xf numFmtId="4" fontId="18" fillId="0" borderId="3" xfId="12" applyNumberFormat="1" applyFont="1" applyBorder="1" applyAlignment="1">
      <alignment horizontal="center" vertical="center" wrapText="1"/>
    </xf>
    <xf numFmtId="4" fontId="18" fillId="0" borderId="5" xfId="12" applyNumberFormat="1" applyFont="1" applyBorder="1" applyAlignment="1">
      <alignment horizontal="center" vertical="center" wrapText="1"/>
    </xf>
    <xf numFmtId="49" fontId="23" fillId="4" borderId="6" xfId="7" applyNumberFormat="1" applyFont="1" applyFill="1" applyBorder="1" applyAlignment="1">
      <alignment horizontal="left" wrapText="1"/>
    </xf>
    <xf numFmtId="4" fontId="17" fillId="0" borderId="5" xfId="12" applyNumberFormat="1" applyFont="1" applyBorder="1" applyAlignment="1">
      <alignment horizontal="center"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4" fontId="29" fillId="6" borderId="3" xfId="0" applyNumberFormat="1" applyFont="1" applyFill="1" applyBorder="1" applyAlignment="1">
      <alignment horizontal="left" vertical="center" wrapText="1"/>
    </xf>
    <xf numFmtId="4" fontId="29" fillId="6" borderId="5" xfId="0" applyNumberFormat="1" applyFont="1" applyFill="1" applyBorder="1" applyAlignment="1">
      <alignment horizontal="left" vertical="center" wrapText="1"/>
    </xf>
    <xf numFmtId="4" fontId="29" fillId="6" borderId="0" xfId="12" applyNumberFormat="1" applyFont="1" applyFill="1" applyAlignment="1">
      <alignment horizontal="left" vertical="center" wrapText="1"/>
    </xf>
    <xf numFmtId="4" fontId="29" fillId="6" borderId="1" xfId="12" applyNumberFormat="1" applyFont="1" applyFill="1" applyBorder="1" applyAlignment="1">
      <alignment horizontal="center" vertical="center" wrapText="1"/>
    </xf>
    <xf numFmtId="4" fontId="30" fillId="6" borderId="0" xfId="12" applyNumberFormat="1" applyFont="1" applyFill="1" applyAlignment="1">
      <alignment horizontal="center" vertical="center" wrapText="1"/>
    </xf>
    <xf numFmtId="4" fontId="29" fillId="6" borderId="0" xfId="12" applyNumberFormat="1" applyFont="1" applyFill="1" applyAlignment="1">
      <alignment horizontal="center" vertical="center" wrapText="1"/>
    </xf>
    <xf numFmtId="4" fontId="29" fillId="6" borderId="7" xfId="12" applyNumberFormat="1" applyFont="1" applyFill="1" applyBorder="1" applyAlignment="1">
      <alignment horizontal="center" vertical="center" wrapText="1"/>
    </xf>
    <xf numFmtId="49" fontId="29" fillId="6" borderId="1" xfId="12" applyNumberFormat="1" applyFont="1" applyFill="1" applyBorder="1" applyAlignment="1">
      <alignment horizontal="center" vertical="center" wrapText="1"/>
    </xf>
    <xf numFmtId="0" fontId="30" fillId="6" borderId="1" xfId="12" applyFont="1" applyFill="1" applyBorder="1" applyAlignment="1">
      <alignment horizontal="center" vertical="center" wrapText="1"/>
    </xf>
    <xf numFmtId="4" fontId="29" fillId="6" borderId="3" xfId="12" applyNumberFormat="1" applyFont="1" applyFill="1" applyBorder="1" applyAlignment="1">
      <alignment horizontal="center" vertical="center" wrapText="1"/>
    </xf>
    <xf numFmtId="4" fontId="29" fillId="6" borderId="5" xfId="12" applyNumberFormat="1" applyFont="1" applyFill="1" applyBorder="1" applyAlignment="1">
      <alignment horizontal="center" vertical="center" wrapText="1"/>
    </xf>
  </cellXfs>
  <cellStyles count="1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_Сводный акт 2013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3 3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0" xr:uid="{00000000-0005-0000-0000-00000A000000}"/>
    <cellStyle name="Обычный_Отчет за 2014 год" xfId="11" xr:uid="{00000000-0005-0000-0000-00000B000000}"/>
    <cellStyle name="Обычный_Тарифная смета 2010-2012 г.г. для директора  пояснит зап" xfId="12" xr:uid="{00000000-0005-0000-0000-00000C000000}"/>
    <cellStyle name="Тысячи [0]_Лист1 (3)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4"/>
  <sheetViews>
    <sheetView showZeros="0" view="pageBreakPreview" zoomScale="75" zoomScaleNormal="70" zoomScaleSheetLayoutView="75" workbookViewId="0">
      <pane xSplit="2" ySplit="7" topLeftCell="E115" activePane="bottomRight" state="frozen"/>
      <selection pane="topRight" activeCell="F1" sqref="F1"/>
      <selection pane="bottomLeft" activeCell="A5" sqref="A5"/>
      <selection pane="bottomRight" activeCell="F133" sqref="F133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bestFit="1" customWidth="1"/>
    <col min="15" max="15" width="16.42578125" style="144" customWidth="1"/>
    <col min="16" max="16" width="14.7109375" style="121" customWidth="1"/>
    <col min="17" max="17" width="13.28515625" style="3" customWidth="1"/>
    <col min="18" max="18" width="13.7109375" style="3" customWidth="1"/>
    <col min="19" max="20" width="12.85546875" style="3" customWidth="1"/>
    <col min="21" max="21" width="16.28515625" style="46" customWidth="1"/>
    <col min="22" max="22" width="9.140625" style="3" customWidth="1"/>
    <col min="23" max="16384" width="9.140625" style="3"/>
  </cols>
  <sheetData>
    <row r="1" spans="1:21" x14ac:dyDescent="0.2">
      <c r="B1" s="2" t="s">
        <v>147</v>
      </c>
      <c r="C1" s="2"/>
      <c r="D1" s="2"/>
      <c r="E1" s="2"/>
      <c r="K1" s="356"/>
      <c r="L1" s="356"/>
      <c r="M1" s="356"/>
      <c r="N1" s="356"/>
      <c r="Q1" s="356"/>
      <c r="R1" s="356"/>
      <c r="S1" s="356"/>
      <c r="T1" s="356"/>
    </row>
    <row r="2" spans="1:21" x14ac:dyDescent="0.2">
      <c r="B2" s="2"/>
      <c r="C2" s="2"/>
      <c r="D2" s="2"/>
      <c r="E2" s="2"/>
      <c r="L2" s="356"/>
      <c r="M2" s="356"/>
      <c r="N2" s="356"/>
      <c r="R2" s="356"/>
      <c r="S2" s="356"/>
      <c r="T2" s="356"/>
    </row>
    <row r="3" spans="1:21" ht="15.75" customHeight="1" x14ac:dyDescent="0.2">
      <c r="A3" s="357" t="s">
        <v>159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21" x14ac:dyDescent="0.2">
      <c r="A4" s="357" t="s">
        <v>160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21" x14ac:dyDescent="0.2">
      <c r="B5" s="361"/>
      <c r="C5" s="361"/>
      <c r="D5" s="361"/>
      <c r="E5" s="361"/>
      <c r="F5" s="361"/>
    </row>
    <row r="6" spans="1:21" x14ac:dyDescent="0.2">
      <c r="A6" s="367" t="s">
        <v>161</v>
      </c>
      <c r="B6" s="360" t="s">
        <v>162</v>
      </c>
      <c r="C6" s="358" t="s">
        <v>163</v>
      </c>
      <c r="D6" s="358" t="s">
        <v>164</v>
      </c>
      <c r="E6" s="363" t="s">
        <v>145</v>
      </c>
      <c r="F6" s="358" t="s">
        <v>165</v>
      </c>
      <c r="G6" s="358" t="s">
        <v>166</v>
      </c>
      <c r="H6" s="363" t="s">
        <v>146</v>
      </c>
      <c r="I6" s="360" t="s">
        <v>167</v>
      </c>
      <c r="J6" s="360"/>
      <c r="K6" s="360"/>
      <c r="L6" s="360"/>
      <c r="M6" s="360"/>
      <c r="N6" s="360"/>
      <c r="O6" s="360" t="s">
        <v>137</v>
      </c>
      <c r="P6" s="360"/>
      <c r="Q6" s="360"/>
      <c r="R6" s="360"/>
      <c r="S6" s="360"/>
      <c r="T6" s="360"/>
      <c r="U6" s="358" t="s">
        <v>142</v>
      </c>
    </row>
    <row r="7" spans="1:21" ht="63" x14ac:dyDescent="0.2">
      <c r="A7" s="367"/>
      <c r="B7" s="360"/>
      <c r="C7" s="359"/>
      <c r="D7" s="362"/>
      <c r="E7" s="364"/>
      <c r="F7" s="362"/>
      <c r="G7" s="362"/>
      <c r="H7" s="364"/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 t="s">
        <v>173</v>
      </c>
      <c r="O7" s="145" t="s">
        <v>168</v>
      </c>
      <c r="P7" s="15" t="s">
        <v>169</v>
      </c>
      <c r="Q7" s="6" t="s">
        <v>170</v>
      </c>
      <c r="R7" s="6" t="s">
        <v>171</v>
      </c>
      <c r="S7" s="6" t="s">
        <v>172</v>
      </c>
      <c r="T7" s="6" t="s">
        <v>173</v>
      </c>
      <c r="U7" s="359"/>
    </row>
    <row r="8" spans="1:21" s="67" customFormat="1" ht="31.5" x14ac:dyDescent="0.2">
      <c r="A8" s="61" t="s">
        <v>174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N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ref="O8:T8" si="1">O9+O16+O26+O27+O39+O45+O22</f>
        <v>9948522.0061901491</v>
      </c>
      <c r="P8" s="65">
        <f t="shared" si="1"/>
        <v>2144347.1514758253</v>
      </c>
      <c r="Q8" s="65">
        <f t="shared" si="1"/>
        <v>2360921.1381436442</v>
      </c>
      <c r="R8" s="65">
        <f t="shared" si="1"/>
        <v>2570443.585323303</v>
      </c>
      <c r="S8" s="65">
        <f t="shared" si="1"/>
        <v>2799236.3982404191</v>
      </c>
      <c r="T8" s="65">
        <f t="shared" si="1"/>
        <v>3076056.287273908</v>
      </c>
      <c r="U8" s="66"/>
    </row>
    <row r="9" spans="1:21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N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ref="O9:T9" si="3">O10+O12+O14+O15</f>
        <v>3292287.1821660614</v>
      </c>
      <c r="P9" s="58">
        <f t="shared" si="3"/>
        <v>641254.48800000001</v>
      </c>
      <c r="Q9" s="58">
        <f t="shared" si="3"/>
        <v>644728.86306</v>
      </c>
      <c r="R9" s="58">
        <f t="shared" si="3"/>
        <v>657393.41450359998</v>
      </c>
      <c r="S9" s="58">
        <f t="shared" si="3"/>
        <v>666991.28291381605</v>
      </c>
      <c r="T9" s="58">
        <f t="shared" si="3"/>
        <v>681919.13368864497</v>
      </c>
      <c r="U9" s="66"/>
    </row>
    <row r="10" spans="1:21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>J10-P10</f>
        <v>189022.7955914968</v>
      </c>
    </row>
    <row r="11" spans="1:21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>J11-P11</f>
        <v>0</v>
      </c>
    </row>
    <row r="12" spans="1:21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>J12-P12</f>
        <v>7152.1957333571336</v>
      </c>
    </row>
    <row r="13" spans="1:21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>J13-P13</f>
        <v>0</v>
      </c>
    </row>
    <row r="14" spans="1:21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>J14-P14</f>
        <v>13070.959789680008</v>
      </c>
    </row>
    <row r="15" spans="1:21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ref="U15:U72" si="4">J15-P15</f>
        <v>49965.219811760064</v>
      </c>
    </row>
    <row r="16" spans="1:21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N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ref="O16:T16" si="6">O17+O20+O21</f>
        <v>5312299.794315367</v>
      </c>
      <c r="P16" s="58">
        <f t="shared" si="6"/>
        <v>942380.85548435163</v>
      </c>
      <c r="Q16" s="54">
        <f t="shared" si="6"/>
        <v>998924.68321341288</v>
      </c>
      <c r="R16" s="54">
        <f t="shared" si="6"/>
        <v>1058861.2263511759</v>
      </c>
      <c r="S16" s="54">
        <f t="shared" si="6"/>
        <v>1122394.0603785953</v>
      </c>
      <c r="T16" s="54">
        <f t="shared" si="6"/>
        <v>1189738.9688878311</v>
      </c>
      <c r="U16" s="66">
        <f t="shared" si="4"/>
        <v>996746.64660318207</v>
      </c>
    </row>
    <row r="17" spans="1:22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4833580.4752892079</v>
      </c>
      <c r="P17" s="77">
        <f>P18*P19*12/1000</f>
        <v>857459.77751078398</v>
      </c>
      <c r="Q17" s="16">
        <f>Q18*Q19*12/1000</f>
        <v>908907.36416143121</v>
      </c>
      <c r="R17" s="16">
        <f>R18*R19*12/1000</f>
        <v>963441.80601111706</v>
      </c>
      <c r="S17" s="16">
        <f>S18*S19*12/1000</f>
        <v>1021248.3143717842</v>
      </c>
      <c r="T17" s="16">
        <f>T18*T19*12/1000</f>
        <v>1082523.2132340912</v>
      </c>
      <c r="U17" s="66">
        <f t="shared" si="4"/>
        <v>906957.82449561602</v>
      </c>
      <c r="V17" s="23">
        <f>P17/J17*100-100</f>
        <v>-51.402673803768039</v>
      </c>
    </row>
    <row r="18" spans="1:22" s="117" customFormat="1" x14ac:dyDescent="0.2">
      <c r="A18" s="112"/>
      <c r="B18" s="113" t="s">
        <v>138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f>74206.16*1.06*1.06</f>
        <v>83378.041376000008</v>
      </c>
      <c r="Q18" s="116">
        <f>P18*1.06</f>
        <v>88380.723858560013</v>
      </c>
      <c r="R18" s="116">
        <f>Q18*1.06</f>
        <v>93683.567290073624</v>
      </c>
      <c r="S18" s="116">
        <f>R18*1.06</f>
        <v>99304.581327478052</v>
      </c>
      <c r="T18" s="116">
        <f>S18*1.06</f>
        <v>105262.85620712674</v>
      </c>
      <c r="U18" s="66"/>
    </row>
    <row r="19" spans="1:22" s="117" customFormat="1" x14ac:dyDescent="0.2">
      <c r="A19" s="112"/>
      <c r="B19" s="113" t="s">
        <v>139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857</v>
      </c>
      <c r="Q19" s="159">
        <v>857</v>
      </c>
      <c r="R19" s="159">
        <v>857</v>
      </c>
      <c r="S19" s="159">
        <v>857</v>
      </c>
      <c r="T19" s="159">
        <v>857</v>
      </c>
      <c r="U19" s="66"/>
    </row>
    <row r="20" spans="1:22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478524.46705363155</v>
      </c>
      <c r="P20" s="15">
        <f>P17*0.099</f>
        <v>84888.517973567621</v>
      </c>
      <c r="Q20" s="16">
        <f>Q17*0.099</f>
        <v>89981.829051981695</v>
      </c>
      <c r="R20" s="16">
        <f>R17*0.099</f>
        <v>95380.738795100595</v>
      </c>
      <c r="S20" s="16">
        <f>S17*0.099</f>
        <v>101103.58312280664</v>
      </c>
      <c r="T20" s="16">
        <f>T17*0.099</f>
        <v>107169.79811017503</v>
      </c>
      <c r="U20" s="66">
        <f t="shared" si="4"/>
        <v>89788.824625065987</v>
      </c>
    </row>
    <row r="21" spans="1:22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</row>
    <row r="22" spans="1:22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</row>
    <row r="23" spans="1:22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</row>
    <row r="24" spans="1:22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</row>
    <row r="25" spans="1:22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</row>
    <row r="26" spans="1:22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</row>
    <row r="27" spans="1:22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N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ref="O27:T27" si="10">O28+O29+O30+O31+O32+O33+O34+O35+O36+O37+O38</f>
        <v>264291.6505689022</v>
      </c>
      <c r="P27" s="12">
        <f t="shared" si="10"/>
        <v>45030.45076</v>
      </c>
      <c r="Q27" s="12">
        <f t="shared" si="10"/>
        <v>47610.010025600001</v>
      </c>
      <c r="R27" s="12">
        <f t="shared" si="10"/>
        <v>49950.970747136016</v>
      </c>
      <c r="S27" s="12">
        <f t="shared" si="10"/>
        <v>51885.249571964159</v>
      </c>
      <c r="T27" s="12">
        <f t="shared" si="10"/>
        <v>69814.969464202019</v>
      </c>
      <c r="U27" s="66">
        <f t="shared" si="4"/>
        <v>264.47186890496232</v>
      </c>
    </row>
    <row r="28" spans="1:22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</row>
    <row r="29" spans="1:22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</row>
    <row r="30" spans="1:22" x14ac:dyDescent="0.2">
      <c r="A30" s="5" t="s">
        <v>39</v>
      </c>
      <c r="B30" s="16" t="s">
        <v>175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</row>
    <row r="31" spans="1:22" x14ac:dyDescent="0.2">
      <c r="A31" s="5" t="s">
        <v>176</v>
      </c>
      <c r="B31" s="16" t="s">
        <v>177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3">P31*1.06</f>
        <v>377.97454560000006</v>
      </c>
      <c r="R31" s="16">
        <f t="shared" si="13"/>
        <v>400.65301833600006</v>
      </c>
      <c r="S31" s="16">
        <f t="shared" si="13"/>
        <v>424.69219943616008</v>
      </c>
      <c r="T31" s="16">
        <f t="shared" si="13"/>
        <v>450.17373140232974</v>
      </c>
      <c r="U31" s="66">
        <f t="shared" si="4"/>
        <v>3.36498720000003</v>
      </c>
    </row>
    <row r="32" spans="1:22" x14ac:dyDescent="0.2">
      <c r="A32" s="5" t="s">
        <v>178</v>
      </c>
      <c r="B32" s="16" t="s">
        <v>179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3"/>
        <v>69.775559999999999</v>
      </c>
      <c r="R32" s="16">
        <f t="shared" si="13"/>
        <v>73.962093600000003</v>
      </c>
      <c r="S32" s="16">
        <f t="shared" si="13"/>
        <v>78.399819216000012</v>
      </c>
      <c r="T32" s="16">
        <f t="shared" si="13"/>
        <v>83.103808368960017</v>
      </c>
      <c r="U32" s="66">
        <f t="shared" si="4"/>
        <v>0.62100000000000932</v>
      </c>
    </row>
    <row r="33" spans="1:21" ht="31.5" x14ac:dyDescent="0.2">
      <c r="A33" s="5" t="s">
        <v>180</v>
      </c>
      <c r="B33" s="16" t="s">
        <v>181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3"/>
        <v>130.4118</v>
      </c>
      <c r="R33" s="16">
        <f t="shared" si="13"/>
        <v>138.23650800000001</v>
      </c>
      <c r="S33" s="16">
        <f t="shared" si="13"/>
        <v>146.53069848000001</v>
      </c>
      <c r="T33" s="16">
        <f t="shared" si="13"/>
        <v>155.32254038880001</v>
      </c>
      <c r="U33" s="66">
        <f t="shared" si="4"/>
        <v>1.1664285714285541</v>
      </c>
    </row>
    <row r="34" spans="1:21" x14ac:dyDescent="0.2">
      <c r="A34" s="5" t="s">
        <v>182</v>
      </c>
      <c r="B34" s="16" t="s">
        <v>183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3"/>
        <v>195.62618000000001</v>
      </c>
      <c r="R34" s="16">
        <f t="shared" si="13"/>
        <v>207.36375080000002</v>
      </c>
      <c r="S34" s="16">
        <f t="shared" si="13"/>
        <v>219.80557584800002</v>
      </c>
      <c r="T34" s="16">
        <f t="shared" si="13"/>
        <v>232.99391039888002</v>
      </c>
      <c r="U34" s="66">
        <f t="shared" si="4"/>
        <v>1.7416428571428355</v>
      </c>
    </row>
    <row r="35" spans="1:21" ht="31.5" x14ac:dyDescent="0.2">
      <c r="A35" s="5" t="s">
        <v>184</v>
      </c>
      <c r="B35" s="16" t="s">
        <v>185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3"/>
        <v>1011.24</v>
      </c>
      <c r="R35" s="16">
        <f t="shared" si="13"/>
        <v>1071.9144000000001</v>
      </c>
      <c r="S35" s="16">
        <f t="shared" si="13"/>
        <v>1136.2292640000003</v>
      </c>
      <c r="T35" s="16">
        <f t="shared" si="13"/>
        <v>1204.4030198400003</v>
      </c>
      <c r="U35" s="66">
        <f t="shared" si="4"/>
        <v>9</v>
      </c>
    </row>
    <row r="36" spans="1:21" s="133" customFormat="1" x14ac:dyDescent="0.2">
      <c r="A36" s="128" t="s">
        <v>186</v>
      </c>
      <c r="B36" s="129" t="s">
        <v>187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</row>
    <row r="37" spans="1:21" s="133" customFormat="1" ht="31.5" x14ac:dyDescent="0.2">
      <c r="A37" s="128" t="s">
        <v>188</v>
      </c>
      <c r="B37" s="129" t="s">
        <v>189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</row>
    <row r="38" spans="1:21" x14ac:dyDescent="0.2">
      <c r="A38" s="5" t="s">
        <v>190</v>
      </c>
      <c r="B38" s="25" t="s">
        <v>191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</row>
    <row r="39" spans="1:21" s="2" customFormat="1" x14ac:dyDescent="0.2">
      <c r="A39" s="7" t="s">
        <v>192</v>
      </c>
      <c r="B39" s="26" t="s">
        <v>193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</row>
    <row r="40" spans="1:21" hidden="1" outlineLevel="1" x14ac:dyDescent="0.2">
      <c r="A40" s="5"/>
      <c r="B40" s="16" t="s">
        <v>194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</row>
    <row r="41" spans="1:21" hidden="1" outlineLevel="1" x14ac:dyDescent="0.2">
      <c r="A41" s="5"/>
      <c r="B41" s="27" t="s">
        <v>195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</row>
    <row r="42" spans="1:21" hidden="1" outlineLevel="1" x14ac:dyDescent="0.2">
      <c r="A42" s="5"/>
      <c r="B42" s="27" t="s">
        <v>196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</row>
    <row r="43" spans="1:21" hidden="1" outlineLevel="1" x14ac:dyDescent="0.2">
      <c r="A43" s="5"/>
      <c r="B43" s="27" t="s">
        <v>197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</row>
    <row r="44" spans="1:21" hidden="1" outlineLevel="1" x14ac:dyDescent="0.2">
      <c r="A44" s="5"/>
      <c r="B44" s="27" t="s">
        <v>198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</row>
    <row r="45" spans="1:21" s="2" customFormat="1" collapsed="1" x14ac:dyDescent="0.2">
      <c r="A45" s="7" t="s">
        <v>199</v>
      </c>
      <c r="B45" s="26" t="s">
        <v>200</v>
      </c>
      <c r="C45" s="14" t="s">
        <v>1</v>
      </c>
      <c r="D45" s="10" t="s">
        <v>2</v>
      </c>
      <c r="E45" s="10"/>
      <c r="F45" s="12">
        <f t="shared" ref="F45:N45" si="14">F58+F59+F48+F60+F46+F47+F49+F61</f>
        <v>51858.527999999998</v>
      </c>
      <c r="G45" s="12">
        <f t="shared" si="14"/>
        <v>43520.520999999993</v>
      </c>
      <c r="H45" s="12"/>
      <c r="I45" s="12">
        <f t="shared" si="14"/>
        <v>454357.18626514223</v>
      </c>
      <c r="J45" s="12">
        <f t="shared" si="14"/>
        <v>80500.823193742472</v>
      </c>
      <c r="K45" s="12">
        <f t="shared" si="14"/>
        <v>85873.572600852465</v>
      </c>
      <c r="L45" s="12">
        <f t="shared" si="14"/>
        <v>92131.151271098614</v>
      </c>
      <c r="M45" s="12">
        <f t="shared" si="14"/>
        <v>96248.383245511417</v>
      </c>
      <c r="N45" s="12">
        <f t="shared" si="14"/>
        <v>101597.81195393731</v>
      </c>
      <c r="O45" s="146">
        <f t="shared" ref="O45:T45" si="15">O58+O59+O48+O60+O46+O47+O49+O61</f>
        <v>223800.90993981872</v>
      </c>
      <c r="P45" s="12">
        <f t="shared" si="15"/>
        <v>48884.5987600972</v>
      </c>
      <c r="Q45" s="12">
        <f t="shared" si="15"/>
        <v>51858.03444298901</v>
      </c>
      <c r="R45" s="12">
        <f t="shared" si="15"/>
        <v>55012.701189568354</v>
      </c>
      <c r="S45" s="12">
        <f t="shared" si="15"/>
        <v>55153.81574094246</v>
      </c>
      <c r="T45" s="12">
        <f t="shared" si="15"/>
        <v>58480.431265399005</v>
      </c>
      <c r="U45" s="66">
        <f t="shared" si="4"/>
        <v>31616.224433645271</v>
      </c>
    </row>
    <row r="46" spans="1:21" x14ac:dyDescent="0.2">
      <c r="A46" s="5" t="s">
        <v>201</v>
      </c>
      <c r="B46" s="16" t="s">
        <v>202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6">P46*1.06</f>
        <v>13840.114483832003</v>
      </c>
      <c r="R46" s="16">
        <f t="shared" si="16"/>
        <v>14670.521352861924</v>
      </c>
      <c r="S46" s="16">
        <f t="shared" si="16"/>
        <v>15550.752634033641</v>
      </c>
      <c r="T46" s="16">
        <f t="shared" si="16"/>
        <v>16483.79779207566</v>
      </c>
      <c r="U46" s="66">
        <f t="shared" si="4"/>
        <v>16626.458291018287</v>
      </c>
    </row>
    <row r="47" spans="1:21" x14ac:dyDescent="0.2">
      <c r="A47" s="5" t="s">
        <v>203</v>
      </c>
      <c r="B47" s="16" t="s">
        <v>204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6"/>
        <v>615.57380000000001</v>
      </c>
      <c r="R47" s="16">
        <f t="shared" si="16"/>
        <v>652.50822800000003</v>
      </c>
      <c r="S47" s="16">
        <f t="shared" si="16"/>
        <v>691.6587216800001</v>
      </c>
      <c r="T47" s="16">
        <f t="shared" si="16"/>
        <v>733.15824498080019</v>
      </c>
      <c r="U47" s="66">
        <f t="shared" si="4"/>
        <v>19.269999999999982</v>
      </c>
    </row>
    <row r="48" spans="1:21" x14ac:dyDescent="0.2">
      <c r="A48" s="5" t="s">
        <v>205</v>
      </c>
      <c r="B48" s="16" t="s">
        <v>206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6"/>
        <v>723.98318000000006</v>
      </c>
      <c r="R48" s="16">
        <f t="shared" si="16"/>
        <v>767.42217080000012</v>
      </c>
      <c r="S48" s="16">
        <f t="shared" si="16"/>
        <v>813.46750104800014</v>
      </c>
      <c r="T48" s="16">
        <f t="shared" si="16"/>
        <v>862.2755511108802</v>
      </c>
      <c r="U48" s="66">
        <f t="shared" si="4"/>
        <v>36.253866071428433</v>
      </c>
    </row>
    <row r="49" spans="1:21" s="142" customFormat="1" x14ac:dyDescent="0.2">
      <c r="A49" s="137" t="s">
        <v>207</v>
      </c>
      <c r="B49" s="138" t="s">
        <v>208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</row>
    <row r="50" spans="1:21" outlineLevel="1" x14ac:dyDescent="0.2">
      <c r="A50" s="5"/>
      <c r="B50" s="16" t="s">
        <v>194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17">J50+K50+L50+M50+N50</f>
        <v>0</v>
      </c>
      <c r="J50" s="16"/>
      <c r="K50" s="16"/>
      <c r="L50" s="16"/>
      <c r="M50" s="16"/>
      <c r="N50" s="16"/>
      <c r="O50" s="136">
        <f t="shared" ref="O50:O57" si="18">P50+Q50+R50+S50+T50</f>
        <v>0</v>
      </c>
      <c r="P50" s="15"/>
      <c r="Q50" s="16"/>
      <c r="R50" s="16"/>
      <c r="S50" s="16"/>
      <c r="T50" s="16"/>
      <c r="U50" s="66"/>
    </row>
    <row r="51" spans="1:21" outlineLevel="1" x14ac:dyDescent="0.2">
      <c r="A51" s="5"/>
      <c r="B51" s="16" t="s">
        <v>209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17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18"/>
        <v>3218.9886525995207</v>
      </c>
      <c r="P51" s="119">
        <v>571.03700000000003</v>
      </c>
      <c r="Q51" s="16">
        <f t="shared" ref="Q51:T55" si="19">P51*1.06</f>
        <v>605.2992200000001</v>
      </c>
      <c r="R51" s="16">
        <f t="shared" si="19"/>
        <v>641.61717320000014</v>
      </c>
      <c r="S51" s="16">
        <f t="shared" si="19"/>
        <v>680.11420359200019</v>
      </c>
      <c r="T51" s="16">
        <f t="shared" si="19"/>
        <v>720.92105580752025</v>
      </c>
      <c r="U51" s="66"/>
    </row>
    <row r="52" spans="1:21" outlineLevel="1" x14ac:dyDescent="0.2">
      <c r="A52" s="5"/>
      <c r="B52" s="16" t="s">
        <v>210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17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18"/>
        <v>13949.832093464001</v>
      </c>
      <c r="P52" s="15">
        <v>2474.65</v>
      </c>
      <c r="Q52" s="16">
        <f t="shared" si="19"/>
        <v>2623.1290000000004</v>
      </c>
      <c r="R52" s="16">
        <f t="shared" si="19"/>
        <v>2780.5167400000005</v>
      </c>
      <c r="S52" s="16">
        <f t="shared" si="19"/>
        <v>2947.3477444000005</v>
      </c>
      <c r="T52" s="16">
        <f t="shared" si="19"/>
        <v>3124.1886090640005</v>
      </c>
      <c r="U52" s="66">
        <f t="shared" si="4"/>
        <v>23.452999999999975</v>
      </c>
    </row>
    <row r="53" spans="1:21" outlineLevel="1" x14ac:dyDescent="0.2">
      <c r="A53" s="5"/>
      <c r="B53" s="16" t="s">
        <v>211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17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18"/>
        <v>1733.0114886928002</v>
      </c>
      <c r="P53" s="15">
        <v>307.43</v>
      </c>
      <c r="Q53" s="16">
        <f t="shared" si="19"/>
        <v>325.87580000000003</v>
      </c>
      <c r="R53" s="16">
        <f t="shared" si="19"/>
        <v>345.42834800000003</v>
      </c>
      <c r="S53" s="16">
        <f t="shared" si="19"/>
        <v>366.15404888000006</v>
      </c>
      <c r="T53" s="16">
        <f t="shared" si="19"/>
        <v>388.12329181280006</v>
      </c>
      <c r="U53" s="66">
        <f t="shared" si="4"/>
        <v>2.9099999999999682</v>
      </c>
    </row>
    <row r="54" spans="1:21" outlineLevel="1" x14ac:dyDescent="0.2">
      <c r="A54" s="5"/>
      <c r="B54" s="16" t="s">
        <v>212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17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18"/>
        <v>8331.9447091787188</v>
      </c>
      <c r="P54" s="15">
        <v>1478.057</v>
      </c>
      <c r="Q54" s="16">
        <f t="shared" si="19"/>
        <v>1566.7404200000001</v>
      </c>
      <c r="R54" s="16">
        <f t="shared" si="19"/>
        <v>1660.7448452000001</v>
      </c>
      <c r="S54" s="16">
        <f t="shared" si="19"/>
        <v>1760.3895359120002</v>
      </c>
      <c r="T54" s="16">
        <f t="shared" si="19"/>
        <v>1866.0129080667202</v>
      </c>
      <c r="U54" s="66">
        <f t="shared" si="4"/>
        <v>13.94399999999996</v>
      </c>
    </row>
    <row r="55" spans="1:21" outlineLevel="1" x14ac:dyDescent="0.2">
      <c r="A55" s="5"/>
      <c r="B55" s="16" t="s">
        <v>213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17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18"/>
        <v>44696.443699119176</v>
      </c>
      <c r="P55" s="119">
        <f>8003.79/1.07*1.06</f>
        <v>7928.9882242990652</v>
      </c>
      <c r="Q55" s="16">
        <f t="shared" si="19"/>
        <v>8404.72751775701</v>
      </c>
      <c r="R55" s="16">
        <f t="shared" si="19"/>
        <v>8909.0111688224315</v>
      </c>
      <c r="S55" s="16">
        <f t="shared" si="19"/>
        <v>9443.5518389517783</v>
      </c>
      <c r="T55" s="16">
        <f t="shared" si="19"/>
        <v>10010.164949288886</v>
      </c>
      <c r="U55" s="66"/>
    </row>
    <row r="56" spans="1:21" ht="31.5" outlineLevel="1" x14ac:dyDescent="0.2">
      <c r="A56" s="5"/>
      <c r="B56" s="16" t="s">
        <v>214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17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18"/>
        <v>0</v>
      </c>
      <c r="P56" s="124" t="s">
        <v>141</v>
      </c>
      <c r="Q56" s="16"/>
      <c r="R56" s="16"/>
      <c r="S56" s="16"/>
      <c r="T56" s="16"/>
      <c r="U56" s="66">
        <f t="shared" si="4"/>
        <v>3539.7739999999999</v>
      </c>
    </row>
    <row r="57" spans="1:21" outlineLevel="1" x14ac:dyDescent="0.2">
      <c r="A57" s="5"/>
      <c r="B57" s="16" t="s">
        <v>215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17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18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</row>
    <row r="58" spans="1:21" s="120" customFormat="1" x14ac:dyDescent="0.2">
      <c r="A58" s="118" t="s">
        <v>216</v>
      </c>
      <c r="B58" s="31" t="s">
        <v>217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</row>
    <row r="59" spans="1:21" x14ac:dyDescent="0.2">
      <c r="A59" s="5" t="s">
        <v>218</v>
      </c>
      <c r="B59" s="16" t="s">
        <v>41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0">P59*1.06</f>
        <v>3599.0286000000001</v>
      </c>
      <c r="R59" s="16">
        <f t="shared" si="20"/>
        <v>3814.9703160000004</v>
      </c>
      <c r="S59" s="16">
        <f t="shared" si="20"/>
        <v>4043.8685349600005</v>
      </c>
      <c r="T59" s="16">
        <f t="shared" si="20"/>
        <v>4286.5006470576009</v>
      </c>
      <c r="U59" s="66">
        <f t="shared" si="4"/>
        <v>696.01000000000022</v>
      </c>
    </row>
    <row r="60" spans="1:21" x14ac:dyDescent="0.2">
      <c r="A60" s="5" t="s">
        <v>42</v>
      </c>
      <c r="B60" s="13" t="s">
        <v>43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0"/>
        <v>549.65239999999994</v>
      </c>
      <c r="R60" s="16">
        <f t="shared" si="20"/>
        <v>582.63154399999996</v>
      </c>
      <c r="S60" s="16">
        <f t="shared" si="20"/>
        <v>617.58943664000003</v>
      </c>
      <c r="T60" s="16">
        <f t="shared" si="20"/>
        <v>654.6448028384001</v>
      </c>
      <c r="U60" s="66">
        <f t="shared" si="4"/>
        <v>132.33479017857144</v>
      </c>
    </row>
    <row r="61" spans="1:21" s="2" customFormat="1" x14ac:dyDescent="0.2">
      <c r="A61" s="7" t="s">
        <v>44</v>
      </c>
      <c r="B61" s="26" t="s">
        <v>45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1">SUM(I62:I83)</f>
        <v>51100.152908028977</v>
      </c>
      <c r="J61" s="11">
        <f>SUM(J62:J83)</f>
        <v>10038.662422171428</v>
      </c>
      <c r="K61" s="11">
        <f t="shared" si="21"/>
        <v>10748.075398866285</v>
      </c>
      <c r="L61" s="11">
        <f t="shared" si="21"/>
        <v>11505.224723215499</v>
      </c>
      <c r="M61" s="11">
        <f t="shared" si="21"/>
        <v>9083.8772873489779</v>
      </c>
      <c r="N61" s="11">
        <f t="shared" si="21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</row>
    <row r="62" spans="1:21" outlineLevel="1" x14ac:dyDescent="0.2">
      <c r="A62" s="5"/>
      <c r="B62" s="25" t="s">
        <v>46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2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</row>
    <row r="63" spans="1:21" outlineLevel="1" x14ac:dyDescent="0.2">
      <c r="A63" s="5"/>
      <c r="B63" s="25" t="s">
        <v>47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2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</row>
    <row r="64" spans="1:21" outlineLevel="1" x14ac:dyDescent="0.2">
      <c r="A64" s="5"/>
      <c r="B64" s="25" t="s">
        <v>48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2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Q70" si="23">P64*1.06</f>
        <v>2968.636</v>
      </c>
      <c r="R64" s="16">
        <f t="shared" ref="R64:T66" si="24">Q64*1.06</f>
        <v>3146.75416</v>
      </c>
      <c r="S64" s="16">
        <f t="shared" si="24"/>
        <v>3335.5594096</v>
      </c>
      <c r="T64" s="16">
        <f t="shared" si="24"/>
        <v>3535.692974176</v>
      </c>
      <c r="U64" s="66">
        <f t="shared" si="4"/>
        <v>26.419180000000324</v>
      </c>
    </row>
    <row r="65" spans="1:21" outlineLevel="1" x14ac:dyDescent="0.2">
      <c r="A65" s="5"/>
      <c r="B65" s="16" t="s">
        <v>49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2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23"/>
        <v>50.562000000000005</v>
      </c>
      <c r="R65" s="16">
        <f t="shared" si="24"/>
        <v>53.595720000000007</v>
      </c>
      <c r="S65" s="16">
        <f t="shared" si="24"/>
        <v>56.811463200000013</v>
      </c>
      <c r="T65" s="16">
        <f t="shared" si="24"/>
        <v>60.220150992000015</v>
      </c>
      <c r="U65" s="66">
        <f t="shared" si="4"/>
        <v>0.44999999999999574</v>
      </c>
    </row>
    <row r="66" spans="1:21" outlineLevel="1" x14ac:dyDescent="0.2">
      <c r="A66" s="30"/>
      <c r="B66" s="16" t="s">
        <v>50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2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23"/>
        <v>159.54060000000001</v>
      </c>
      <c r="R66" s="16">
        <f t="shared" si="24"/>
        <v>169.11303600000002</v>
      </c>
      <c r="S66" s="16">
        <f t="shared" si="24"/>
        <v>179.25981816000004</v>
      </c>
      <c r="T66" s="16">
        <f t="shared" si="24"/>
        <v>190.01540724960006</v>
      </c>
      <c r="U66" s="66">
        <f t="shared" si="4"/>
        <v>1.4198135999999977</v>
      </c>
    </row>
    <row r="67" spans="1:21" outlineLevel="1" x14ac:dyDescent="0.2">
      <c r="A67" s="30"/>
      <c r="B67" s="25" t="s">
        <v>51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2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23"/>
        <v>150.90160000000003</v>
      </c>
      <c r="R67" s="16">
        <f t="shared" ref="R67:T70" si="25">Q67*1.06</f>
        <v>159.95569600000005</v>
      </c>
      <c r="S67" s="16">
        <f t="shared" si="25"/>
        <v>169.55303776000005</v>
      </c>
      <c r="T67" s="16">
        <f t="shared" si="25"/>
        <v>179.72622002560007</v>
      </c>
      <c r="U67" s="66">
        <f t="shared" si="4"/>
        <v>131.56</v>
      </c>
    </row>
    <row r="68" spans="1:21" ht="15" customHeight="1" outlineLevel="1" x14ac:dyDescent="0.2">
      <c r="A68" s="30"/>
      <c r="B68" s="25" t="s">
        <v>52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2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23"/>
        <v>205.25839999999999</v>
      </c>
      <c r="R68" s="16">
        <f t="shared" si="25"/>
        <v>217.573904</v>
      </c>
      <c r="S68" s="16">
        <f t="shared" si="25"/>
        <v>230.62833824000001</v>
      </c>
      <c r="T68" s="16">
        <f t="shared" si="25"/>
        <v>244.46603853440001</v>
      </c>
      <c r="U68" s="66">
        <f t="shared" si="4"/>
        <v>12.530657142857137</v>
      </c>
    </row>
    <row r="69" spans="1:21" ht="15" customHeight="1" outlineLevel="1" x14ac:dyDescent="0.2">
      <c r="A69" s="30"/>
      <c r="B69" s="25" t="s">
        <v>53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2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23"/>
        <v>481.54210000000006</v>
      </c>
      <c r="R69" s="16">
        <f t="shared" si="25"/>
        <v>510.43462600000009</v>
      </c>
      <c r="S69" s="16">
        <f t="shared" si="25"/>
        <v>541.06070356000009</v>
      </c>
      <c r="T69" s="16">
        <f t="shared" si="25"/>
        <v>573.52434577360009</v>
      </c>
      <c r="U69" s="66">
        <f t="shared" si="4"/>
        <v>113.19714285714275</v>
      </c>
    </row>
    <row r="70" spans="1:21" ht="15" customHeight="1" outlineLevel="1" x14ac:dyDescent="0.2">
      <c r="A70" s="30"/>
      <c r="B70" s="25" t="s">
        <v>54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2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23"/>
        <v>735.77822400000014</v>
      </c>
      <c r="R70" s="16">
        <f t="shared" si="25"/>
        <v>779.92491744000017</v>
      </c>
      <c r="S70" s="16">
        <f t="shared" si="25"/>
        <v>826.72041248640028</v>
      </c>
      <c r="T70" s="16">
        <f t="shared" si="25"/>
        <v>876.32363723558433</v>
      </c>
      <c r="U70" s="66">
        <f t="shared" si="4"/>
        <v>6.5483999999999014</v>
      </c>
    </row>
    <row r="71" spans="1:21" outlineLevel="1" x14ac:dyDescent="0.2">
      <c r="A71" s="30"/>
      <c r="B71" s="31" t="s">
        <v>55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2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</row>
    <row r="72" spans="1:21" outlineLevel="1" x14ac:dyDescent="0.2">
      <c r="A72" s="30"/>
      <c r="B72" s="16" t="s">
        <v>56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2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141</v>
      </c>
      <c r="Q72" s="16"/>
      <c r="R72" s="16"/>
      <c r="S72" s="16"/>
      <c r="T72" s="16"/>
      <c r="U72" s="66">
        <f t="shared" si="4"/>
        <v>76</v>
      </c>
    </row>
    <row r="73" spans="1:21" outlineLevel="1" x14ac:dyDescent="0.2">
      <c r="A73" s="30"/>
      <c r="B73" s="16" t="s">
        <v>57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2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ref="U73:U89" si="26">J73-P73</f>
        <v>110.2089</v>
      </c>
    </row>
    <row r="74" spans="1:21" hidden="1" outlineLevel="1" x14ac:dyDescent="0.2">
      <c r="A74" s="30"/>
      <c r="B74" s="16" t="s">
        <v>58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2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si="26"/>
        <v>0</v>
      </c>
    </row>
    <row r="75" spans="1:21" hidden="1" outlineLevel="1" x14ac:dyDescent="0.2">
      <c r="A75" s="30"/>
      <c r="B75" s="16" t="s">
        <v>59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2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26"/>
        <v>0</v>
      </c>
    </row>
    <row r="76" spans="1:21" hidden="1" outlineLevel="1" x14ac:dyDescent="0.2">
      <c r="A76" s="30"/>
      <c r="B76" s="16" t="s">
        <v>60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2"/>
        <v>0</v>
      </c>
      <c r="J76" s="16"/>
      <c r="K76" s="16"/>
      <c r="L76" s="16"/>
      <c r="M76" s="16"/>
      <c r="N76" s="16"/>
      <c r="O76" s="136">
        <f t="shared" ref="O76:O83" si="27">P76+Q76+R76+S76+T76</f>
        <v>0</v>
      </c>
      <c r="P76" s="15"/>
      <c r="Q76" s="16"/>
      <c r="R76" s="16"/>
      <c r="S76" s="16"/>
      <c r="T76" s="16"/>
      <c r="U76" s="66">
        <f t="shared" si="26"/>
        <v>0</v>
      </c>
    </row>
    <row r="77" spans="1:21" hidden="1" outlineLevel="1" x14ac:dyDescent="0.2">
      <c r="A77" s="30"/>
      <c r="B77" s="16" t="s">
        <v>61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2"/>
        <v>0</v>
      </c>
      <c r="J77" s="16"/>
      <c r="K77" s="16"/>
      <c r="L77" s="16"/>
      <c r="M77" s="16"/>
      <c r="N77" s="16"/>
      <c r="O77" s="136">
        <f t="shared" si="27"/>
        <v>0</v>
      </c>
      <c r="P77" s="15"/>
      <c r="Q77" s="16"/>
      <c r="R77" s="16"/>
      <c r="S77" s="16"/>
      <c r="T77" s="16"/>
      <c r="U77" s="66">
        <f t="shared" si="26"/>
        <v>0</v>
      </c>
    </row>
    <row r="78" spans="1:21" hidden="1" outlineLevel="1" x14ac:dyDescent="0.2">
      <c r="A78" s="30"/>
      <c r="B78" s="16" t="s">
        <v>62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2"/>
        <v>0</v>
      </c>
      <c r="J78" s="16"/>
      <c r="K78" s="16"/>
      <c r="L78" s="16"/>
      <c r="M78" s="16"/>
      <c r="N78" s="16"/>
      <c r="O78" s="136">
        <f t="shared" si="27"/>
        <v>0</v>
      </c>
      <c r="P78" s="15"/>
      <c r="Q78" s="16"/>
      <c r="R78" s="16"/>
      <c r="S78" s="16"/>
      <c r="T78" s="16"/>
      <c r="U78" s="66">
        <f t="shared" si="26"/>
        <v>0</v>
      </c>
    </row>
    <row r="79" spans="1:21" hidden="1" outlineLevel="1" x14ac:dyDescent="0.2">
      <c r="A79" s="30"/>
      <c r="B79" s="16" t="s">
        <v>63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2"/>
        <v>0</v>
      </c>
      <c r="J79" s="16"/>
      <c r="K79" s="16"/>
      <c r="L79" s="16"/>
      <c r="M79" s="16"/>
      <c r="N79" s="16"/>
      <c r="O79" s="136">
        <f t="shared" si="27"/>
        <v>0</v>
      </c>
      <c r="P79" s="15"/>
      <c r="Q79" s="16"/>
      <c r="R79" s="16"/>
      <c r="S79" s="16"/>
      <c r="T79" s="16"/>
      <c r="U79" s="66">
        <f t="shared" si="26"/>
        <v>0</v>
      </c>
    </row>
    <row r="80" spans="1:21" outlineLevel="1" x14ac:dyDescent="0.2">
      <c r="A80" s="30"/>
      <c r="B80" s="16" t="s">
        <v>64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2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27"/>
        <v>0</v>
      </c>
      <c r="P80" s="124" t="s">
        <v>141</v>
      </c>
      <c r="Q80" s="16"/>
      <c r="R80" s="16"/>
      <c r="S80" s="16"/>
      <c r="T80" s="16"/>
      <c r="U80" s="66">
        <f t="shared" si="26"/>
        <v>335.98</v>
      </c>
    </row>
    <row r="81" spans="1:22" outlineLevel="1" x14ac:dyDescent="0.2">
      <c r="A81" s="30"/>
      <c r="B81" s="16" t="s">
        <v>65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2"/>
        <v>0</v>
      </c>
      <c r="J81" s="16"/>
      <c r="K81" s="16"/>
      <c r="L81" s="16"/>
      <c r="M81" s="16"/>
      <c r="N81" s="16"/>
      <c r="O81" s="136">
        <f t="shared" si="27"/>
        <v>0</v>
      </c>
      <c r="P81" s="15"/>
      <c r="Q81" s="16"/>
      <c r="R81" s="16"/>
      <c r="S81" s="16"/>
      <c r="T81" s="16"/>
      <c r="U81" s="66">
        <f t="shared" si="26"/>
        <v>0</v>
      </c>
    </row>
    <row r="82" spans="1:22" outlineLevel="1" x14ac:dyDescent="0.2">
      <c r="A82" s="30"/>
      <c r="B82" s="16" t="s">
        <v>66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2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27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26"/>
        <v>-4.2857142972252404E-6</v>
      </c>
    </row>
    <row r="83" spans="1:22" outlineLevel="1" x14ac:dyDescent="0.2">
      <c r="A83" s="30"/>
      <c r="B83" s="16" t="s">
        <v>67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2"/>
        <v>0</v>
      </c>
      <c r="J83" s="16"/>
      <c r="K83" s="16"/>
      <c r="L83" s="16"/>
      <c r="M83" s="16"/>
      <c r="N83" s="16"/>
      <c r="O83" s="136">
        <f t="shared" si="27"/>
        <v>0</v>
      </c>
      <c r="P83" s="15"/>
      <c r="Q83" s="16"/>
      <c r="R83" s="16"/>
      <c r="S83" s="16"/>
      <c r="T83" s="16"/>
      <c r="U83" s="66">
        <f t="shared" si="26"/>
        <v>0</v>
      </c>
    </row>
    <row r="84" spans="1:22" s="67" customFormat="1" x14ac:dyDescent="0.2">
      <c r="A84" s="61" t="s">
        <v>68</v>
      </c>
      <c r="B84" s="68" t="s">
        <v>69</v>
      </c>
      <c r="C84" s="69" t="s">
        <v>1</v>
      </c>
      <c r="D84" s="64" t="s">
        <v>2</v>
      </c>
      <c r="E84" s="156">
        <v>381368.34</v>
      </c>
      <c r="F84" s="70">
        <f t="shared" ref="F84:N84" si="28">F85+F113+F121</f>
        <v>282751.91499999998</v>
      </c>
      <c r="G84" s="70">
        <f t="shared" si="28"/>
        <v>274269.908</v>
      </c>
      <c r="H84" s="70"/>
      <c r="I84" s="70">
        <f t="shared" si="28"/>
        <v>2424221.2602088014</v>
      </c>
      <c r="J84" s="70">
        <f t="shared" si="28"/>
        <v>432090.95190771203</v>
      </c>
      <c r="K84" s="70">
        <f t="shared" si="28"/>
        <v>476829.04499701946</v>
      </c>
      <c r="L84" s="70">
        <f t="shared" si="28"/>
        <v>475365.14964083506</v>
      </c>
      <c r="M84" s="70">
        <f t="shared" si="28"/>
        <v>501020.61030292511</v>
      </c>
      <c r="N84" s="70">
        <f t="shared" si="28"/>
        <v>538915.50336030964</v>
      </c>
      <c r="O84" s="148">
        <f t="shared" ref="O84:T84" si="29">O85+O113+O121</f>
        <v>1011730.3955475525</v>
      </c>
      <c r="P84" s="125">
        <f t="shared" si="29"/>
        <v>217083.02802020579</v>
      </c>
      <c r="Q84" s="70">
        <f t="shared" si="29"/>
        <v>243838.30328041821</v>
      </c>
      <c r="R84" s="70">
        <f t="shared" si="29"/>
        <v>216823.79034544327</v>
      </c>
      <c r="S84" s="70">
        <f t="shared" si="29"/>
        <v>215309.14906036988</v>
      </c>
      <c r="T84" s="70">
        <f t="shared" si="29"/>
        <v>224174.1257275854</v>
      </c>
      <c r="U84" s="66">
        <f t="shared" si="26"/>
        <v>215007.92388750624</v>
      </c>
    </row>
    <row r="85" spans="1:22" s="2" customFormat="1" ht="31.5" x14ac:dyDescent="0.2">
      <c r="A85" s="7" t="s">
        <v>192</v>
      </c>
      <c r="B85" s="26" t="s">
        <v>70</v>
      </c>
      <c r="C85" s="14" t="s">
        <v>1</v>
      </c>
      <c r="D85" s="10" t="s">
        <v>2</v>
      </c>
      <c r="E85" s="10"/>
      <c r="F85" s="21">
        <f t="shared" ref="F85:N85" si="30">F86+F89+F90+F99</f>
        <v>132091.18599999999</v>
      </c>
      <c r="G85" s="21">
        <f t="shared" si="30"/>
        <v>132157.022</v>
      </c>
      <c r="H85" s="21"/>
      <c r="I85" s="21">
        <f t="shared" si="30"/>
        <v>2280735.9431958967</v>
      </c>
      <c r="J85" s="21">
        <f t="shared" si="30"/>
        <v>357988.61516741454</v>
      </c>
      <c r="K85" s="21">
        <f t="shared" si="30"/>
        <v>441986.51527082967</v>
      </c>
      <c r="L85" s="21">
        <f t="shared" si="30"/>
        <v>464533.68440998346</v>
      </c>
      <c r="M85" s="21">
        <f t="shared" si="30"/>
        <v>489559.55181707913</v>
      </c>
      <c r="N85" s="21">
        <f t="shared" si="30"/>
        <v>526667.57653059007</v>
      </c>
      <c r="O85" s="148">
        <f t="shared" ref="O85:T85" si="31">O86+O89+O90+O99</f>
        <v>977867.74449124467</v>
      </c>
      <c r="P85" s="12">
        <f t="shared" si="31"/>
        <v>146509.15278620581</v>
      </c>
      <c r="Q85" s="21">
        <f t="shared" si="31"/>
        <v>212641.55433337818</v>
      </c>
      <c r="R85" s="21">
        <f t="shared" si="31"/>
        <v>210011.35016618087</v>
      </c>
      <c r="S85" s="21">
        <f t="shared" si="31"/>
        <v>208143.20088755173</v>
      </c>
      <c r="T85" s="21">
        <f t="shared" si="31"/>
        <v>216564.27732439816</v>
      </c>
      <c r="U85" s="66">
        <f t="shared" si="26"/>
        <v>211479.46238120872</v>
      </c>
    </row>
    <row r="86" spans="1:22" s="23" customFormat="1" ht="31.5" x14ac:dyDescent="0.2">
      <c r="A86" s="5" t="s">
        <v>71</v>
      </c>
      <c r="B86" s="13" t="s">
        <v>72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26"/>
        <v>144023.781077616</v>
      </c>
      <c r="V86" s="23">
        <f>P86/J86*100-100</f>
        <v>-59.859660077790181</v>
      </c>
    </row>
    <row r="87" spans="1:22" s="23" customFormat="1" x14ac:dyDescent="0.2">
      <c r="A87" s="5"/>
      <c r="B87" s="13" t="s">
        <v>140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</row>
    <row r="88" spans="1:22" s="23" customFormat="1" x14ac:dyDescent="0.2">
      <c r="A88" s="5"/>
      <c r="B88" s="13" t="s">
        <v>139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</row>
    <row r="89" spans="1:22" s="23" customFormat="1" x14ac:dyDescent="0.2">
      <c r="A89" s="5" t="s">
        <v>73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26"/>
        <v>14258.353973610381</v>
      </c>
    </row>
    <row r="90" spans="1:22" x14ac:dyDescent="0.2">
      <c r="A90" s="5" t="s">
        <v>74</v>
      </c>
      <c r="B90" s="31" t="s">
        <v>75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N90" si="32">G92+G93+G97+G98+G96</f>
        <v>10987.606</v>
      </c>
      <c r="H90" s="17">
        <v>12543</v>
      </c>
      <c r="I90" s="17">
        <f t="shared" si="32"/>
        <v>286049.86503193877</v>
      </c>
      <c r="J90" s="17">
        <f>J92+J93+J97+J98+J96</f>
        <v>13214.012816485501</v>
      </c>
      <c r="K90" s="17">
        <f t="shared" si="32"/>
        <v>80246.772357084497</v>
      </c>
      <c r="L90" s="17">
        <f t="shared" si="32"/>
        <v>71118.683919557749</v>
      </c>
      <c r="M90" s="17">
        <f t="shared" si="32"/>
        <v>61874.782349803812</v>
      </c>
      <c r="N90" s="17">
        <f t="shared" si="32"/>
        <v>59595.613589007211</v>
      </c>
      <c r="O90" s="150">
        <f>O92+O93+O97+O98+O96</f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</row>
    <row r="91" spans="1:22" outlineLevel="1" x14ac:dyDescent="0.2">
      <c r="A91" s="5"/>
      <c r="B91" s="16" t="s">
        <v>194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</row>
    <row r="92" spans="1:22" outlineLevel="1" x14ac:dyDescent="0.2">
      <c r="A92" s="5"/>
      <c r="B92" s="16" t="s">
        <v>76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</row>
    <row r="93" spans="1:22" outlineLevel="1" x14ac:dyDescent="0.2">
      <c r="A93" s="5"/>
      <c r="B93" s="16" t="s">
        <v>77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N93" si="33">G94+G95</f>
        <v>2678.607</v>
      </c>
      <c r="H93" s="17"/>
      <c r="I93" s="17">
        <f t="shared" si="33"/>
        <v>16478.397229393217</v>
      </c>
      <c r="J93" s="17">
        <f t="shared" si="33"/>
        <v>2865.4399375000003</v>
      </c>
      <c r="K93" s="17">
        <f t="shared" si="33"/>
        <v>3066.0207331250003</v>
      </c>
      <c r="L93" s="17">
        <f t="shared" si="33"/>
        <v>3280.6421844437509</v>
      </c>
      <c r="M93" s="17">
        <f t="shared" si="33"/>
        <v>3510.2871373548132</v>
      </c>
      <c r="N93" s="17">
        <f t="shared" si="33"/>
        <v>3756.0072369696504</v>
      </c>
      <c r="O93" s="150">
        <f>O94+O95</f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</row>
    <row r="94" spans="1:22" hidden="1" outlineLevel="1" x14ac:dyDescent="0.2">
      <c r="A94" s="1" t="s">
        <v>143</v>
      </c>
      <c r="B94" s="136" t="s">
        <v>78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</row>
    <row r="95" spans="1:22" ht="31.5" hidden="1" outlineLevel="1" x14ac:dyDescent="0.2">
      <c r="A95" s="5" t="s">
        <v>144</v>
      </c>
      <c r="B95" s="136" t="s">
        <v>79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</row>
    <row r="96" spans="1:22" ht="31.5" outlineLevel="1" x14ac:dyDescent="0.2">
      <c r="A96" s="5"/>
      <c r="B96" s="16" t="s">
        <v>80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</row>
    <row r="97" spans="1:21" outlineLevel="1" x14ac:dyDescent="0.2">
      <c r="A97" s="5"/>
      <c r="B97" s="16" t="s">
        <v>81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</row>
    <row r="98" spans="1:21" outlineLevel="1" x14ac:dyDescent="0.2">
      <c r="A98" s="5"/>
      <c r="B98" s="16" t="s">
        <v>82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</row>
    <row r="99" spans="1:21" x14ac:dyDescent="0.2">
      <c r="A99" s="7" t="s">
        <v>83</v>
      </c>
      <c r="B99" s="21" t="s">
        <v>84</v>
      </c>
      <c r="C99" s="9" t="s">
        <v>85</v>
      </c>
      <c r="D99" s="134" t="s">
        <v>2</v>
      </c>
      <c r="E99" s="134"/>
      <c r="F99" s="21">
        <f t="shared" ref="F99:N99" si="34">F100+F103+F104+F105+F106+F107+F108+F109+F110+F111+F112</f>
        <v>26745.875</v>
      </c>
      <c r="G99" s="21">
        <f t="shared" si="34"/>
        <v>24732.883000000005</v>
      </c>
      <c r="H99" s="21"/>
      <c r="I99" s="21">
        <f t="shared" si="34"/>
        <v>397941.51631772186</v>
      </c>
      <c r="J99" s="21">
        <f t="shared" si="34"/>
        <v>80352.560883842641</v>
      </c>
      <c r="K99" s="21">
        <f t="shared" si="34"/>
        <v>73070.430843911643</v>
      </c>
      <c r="L99" s="21">
        <f t="shared" si="34"/>
        <v>76071.952239585444</v>
      </c>
      <c r="M99" s="21">
        <f t="shared" si="34"/>
        <v>80446.34099965643</v>
      </c>
      <c r="N99" s="21">
        <f t="shared" si="34"/>
        <v>88000.231350725706</v>
      </c>
      <c r="O99" s="148">
        <f>O100+O103+O104+O105+O106+O107+O108+O109+O110+O111+O112</f>
        <v>112025.23736624325</v>
      </c>
      <c r="P99" s="141">
        <f>P100+P103+P104+P105+P107+P108+P109+P110+P111</f>
        <v>27297.690235999999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</row>
    <row r="100" spans="1:21" x14ac:dyDescent="0.2">
      <c r="A100" s="5" t="s">
        <v>86</v>
      </c>
      <c r="B100" s="31" t="s">
        <v>87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35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36">P100+Q100+R100+S100+T100</f>
        <v>52575.026108593302</v>
      </c>
      <c r="P100" s="152" t="s">
        <v>149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</row>
    <row r="101" spans="1:21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35"/>
        <v>0</v>
      </c>
      <c r="J101" s="16"/>
      <c r="K101" s="16"/>
      <c r="L101" s="16"/>
      <c r="M101" s="16"/>
      <c r="N101" s="16"/>
      <c r="O101" s="136">
        <f t="shared" si="36"/>
        <v>0</v>
      </c>
      <c r="P101" s="15"/>
      <c r="Q101" s="16"/>
      <c r="R101" s="16"/>
      <c r="S101" s="16"/>
      <c r="T101" s="16"/>
      <c r="U101" s="66"/>
    </row>
    <row r="102" spans="1:21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35"/>
        <v>0</v>
      </c>
      <c r="J102" s="16"/>
      <c r="K102" s="16"/>
      <c r="L102" s="16"/>
      <c r="M102" s="16"/>
      <c r="N102" s="16"/>
      <c r="O102" s="136">
        <f t="shared" si="36"/>
        <v>0</v>
      </c>
      <c r="P102" s="15"/>
      <c r="Q102" s="16"/>
      <c r="R102" s="16"/>
      <c r="S102" s="16"/>
      <c r="T102" s="16"/>
      <c r="U102" s="66"/>
    </row>
    <row r="103" spans="1:21" collapsed="1" x14ac:dyDescent="0.2">
      <c r="A103" s="5" t="s">
        <v>88</v>
      </c>
      <c r="B103" s="16" t="s">
        <v>89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35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36"/>
        <v>24569.145650114882</v>
      </c>
      <c r="P103" s="15">
        <v>4358.4780000000001</v>
      </c>
      <c r="Q103" s="16">
        <f t="shared" ref="Q103:T105" si="37">P103*1.06</f>
        <v>4619.98668</v>
      </c>
      <c r="R103" s="16">
        <f t="shared" si="37"/>
        <v>4897.1858808000006</v>
      </c>
      <c r="S103" s="16">
        <f t="shared" si="37"/>
        <v>5191.0170336480005</v>
      </c>
      <c r="T103" s="16">
        <f t="shared" si="37"/>
        <v>5502.4780556668811</v>
      </c>
      <c r="U103" s="66"/>
    </row>
    <row r="104" spans="1:21" ht="31.5" x14ac:dyDescent="0.2">
      <c r="A104" s="5" t="s">
        <v>90</v>
      </c>
      <c r="B104" s="13" t="s">
        <v>91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35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36"/>
        <v>15302.565291075203</v>
      </c>
      <c r="P104" s="15">
        <v>2714.62</v>
      </c>
      <c r="Q104" s="16">
        <f t="shared" si="37"/>
        <v>2877.4972000000002</v>
      </c>
      <c r="R104" s="16">
        <f t="shared" si="37"/>
        <v>3050.1470320000003</v>
      </c>
      <c r="S104" s="16">
        <f t="shared" si="37"/>
        <v>3233.1558539200005</v>
      </c>
      <c r="T104" s="16">
        <f t="shared" si="37"/>
        <v>3427.1452051552005</v>
      </c>
      <c r="U104" s="66"/>
    </row>
    <row r="105" spans="1:21" x14ac:dyDescent="0.2">
      <c r="A105" s="5" t="s">
        <v>92</v>
      </c>
      <c r="B105" s="16" t="s">
        <v>204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35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36"/>
        <v>7116.1928704955208</v>
      </c>
      <c r="P105" s="15">
        <v>1262.3869999999999</v>
      </c>
      <c r="Q105" s="16">
        <f t="shared" si="37"/>
        <v>1338.13022</v>
      </c>
      <c r="R105" s="16">
        <f t="shared" si="37"/>
        <v>1418.4180332000001</v>
      </c>
      <c r="S105" s="16">
        <f t="shared" si="37"/>
        <v>1503.5231151920002</v>
      </c>
      <c r="T105" s="16">
        <f t="shared" si="37"/>
        <v>1593.7345021035203</v>
      </c>
      <c r="U105" s="66"/>
    </row>
    <row r="106" spans="1:21" x14ac:dyDescent="0.2">
      <c r="A106" s="5" t="s">
        <v>93</v>
      </c>
      <c r="B106" s="16" t="s">
        <v>206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35"/>
        <v>0</v>
      </c>
      <c r="J106" s="16"/>
      <c r="K106" s="16"/>
      <c r="L106" s="16"/>
      <c r="M106" s="16"/>
      <c r="N106" s="16"/>
      <c r="O106" s="136">
        <f t="shared" si="36"/>
        <v>0</v>
      </c>
      <c r="P106" s="132"/>
      <c r="Q106" s="16"/>
      <c r="R106" s="16"/>
      <c r="S106" s="16"/>
      <c r="T106" s="16"/>
      <c r="U106" s="66"/>
    </row>
    <row r="107" spans="1:21" x14ac:dyDescent="0.2">
      <c r="A107" s="5" t="s">
        <v>94</v>
      </c>
      <c r="B107" s="16" t="s">
        <v>43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35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36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</row>
    <row r="108" spans="1:21" x14ac:dyDescent="0.2">
      <c r="A108" s="5" t="s">
        <v>95</v>
      </c>
      <c r="B108" s="16" t="s">
        <v>219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35"/>
        <v>9609.67</v>
      </c>
      <c r="J108" s="16">
        <v>9609.67</v>
      </c>
      <c r="K108" s="16"/>
      <c r="L108" s="16"/>
      <c r="M108" s="16"/>
      <c r="N108" s="16"/>
      <c r="O108" s="136">
        <f t="shared" si="36"/>
        <v>5999</v>
      </c>
      <c r="P108" s="15">
        <v>5999</v>
      </c>
      <c r="Q108" s="124" t="s">
        <v>141</v>
      </c>
      <c r="R108" s="16"/>
      <c r="S108" s="16"/>
      <c r="T108" s="16"/>
      <c r="U108" s="66"/>
    </row>
    <row r="109" spans="1:21" x14ac:dyDescent="0.2">
      <c r="A109" s="5" t="s">
        <v>220</v>
      </c>
      <c r="B109" s="16" t="s">
        <v>221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35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36"/>
        <v>1378</v>
      </c>
      <c r="P109" s="132">
        <f>1300*1.06</f>
        <v>1378</v>
      </c>
      <c r="Q109" s="124" t="s">
        <v>141</v>
      </c>
      <c r="R109" s="16"/>
      <c r="S109" s="16"/>
      <c r="T109" s="16"/>
      <c r="U109" s="66"/>
    </row>
    <row r="110" spans="1:21" x14ac:dyDescent="0.2">
      <c r="A110" s="5" t="s">
        <v>222</v>
      </c>
      <c r="B110" s="16" t="s">
        <v>223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35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36"/>
        <v>3103.6437868059402</v>
      </c>
      <c r="P110" s="132">
        <f>490.01*1.06*1.06</f>
        <v>550.57523600000013</v>
      </c>
      <c r="Q110" s="16">
        <f t="shared" ref="Q110:T111" si="38">P110*1.06</f>
        <v>583.6097501600002</v>
      </c>
      <c r="R110" s="16">
        <f t="shared" si="38"/>
        <v>618.62633516960022</v>
      </c>
      <c r="S110" s="16">
        <f t="shared" si="38"/>
        <v>655.74391527977627</v>
      </c>
      <c r="T110" s="16">
        <f t="shared" si="38"/>
        <v>695.08855019656289</v>
      </c>
      <c r="U110" s="66"/>
    </row>
    <row r="111" spans="1:21" x14ac:dyDescent="0.2">
      <c r="A111" s="5" t="s">
        <v>224</v>
      </c>
      <c r="B111" s="13" t="s">
        <v>225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35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36"/>
        <v>1766.5521918047998</v>
      </c>
      <c r="P111" s="15">
        <v>313.38</v>
      </c>
      <c r="Q111" s="16">
        <f t="shared" si="38"/>
        <v>332.18279999999999</v>
      </c>
      <c r="R111" s="16">
        <f t="shared" si="38"/>
        <v>352.11376799999999</v>
      </c>
      <c r="S111" s="16">
        <f t="shared" si="38"/>
        <v>373.24059407999999</v>
      </c>
      <c r="T111" s="16">
        <f t="shared" si="38"/>
        <v>395.63502972480001</v>
      </c>
      <c r="U111" s="66"/>
    </row>
    <row r="112" spans="1:21" hidden="1" x14ac:dyDescent="0.2">
      <c r="A112" s="5" t="s">
        <v>226</v>
      </c>
      <c r="B112" s="16" t="s">
        <v>67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35"/>
        <v>0</v>
      </c>
      <c r="J112" s="16"/>
      <c r="K112" s="16"/>
      <c r="L112" s="16"/>
      <c r="M112" s="16"/>
      <c r="N112" s="16"/>
      <c r="O112" s="136">
        <f t="shared" si="36"/>
        <v>0</v>
      </c>
      <c r="P112" s="15"/>
      <c r="Q112" s="16"/>
      <c r="R112" s="16"/>
      <c r="S112" s="16"/>
      <c r="T112" s="16"/>
      <c r="U112" s="66"/>
    </row>
    <row r="113" spans="1:21" x14ac:dyDescent="0.2">
      <c r="A113" s="5" t="s">
        <v>227</v>
      </c>
      <c r="B113" s="21" t="s">
        <v>96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39">G114+G115+G116+G117+G118+G119+G120</f>
        <v>8555.8919999999998</v>
      </c>
      <c r="H113" s="15"/>
      <c r="I113" s="16">
        <f t="shared" si="35"/>
        <v>53989.107132904501</v>
      </c>
      <c r="J113" s="12">
        <f t="shared" si="39"/>
        <v>9512.700390297523</v>
      </c>
      <c r="K113" s="12">
        <f t="shared" si="39"/>
        <v>10000.361816189779</v>
      </c>
      <c r="L113" s="12">
        <f t="shared" si="39"/>
        <v>10767.059610851637</v>
      </c>
      <c r="M113" s="12">
        <f t="shared" si="39"/>
        <v>11461.058485845964</v>
      </c>
      <c r="N113" s="12">
        <f t="shared" si="39"/>
        <v>12247.926829719594</v>
      </c>
      <c r="O113" s="148">
        <f t="shared" si="36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</row>
    <row r="114" spans="1:21" x14ac:dyDescent="0.2">
      <c r="A114" s="5" t="s">
        <v>97</v>
      </c>
      <c r="B114" s="13" t="s">
        <v>98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35"/>
        <v>0</v>
      </c>
      <c r="J114" s="16"/>
      <c r="K114" s="16"/>
      <c r="L114" s="16"/>
      <c r="M114" s="16"/>
      <c r="N114" s="16"/>
      <c r="O114" s="136">
        <f t="shared" si="36"/>
        <v>0</v>
      </c>
      <c r="P114" s="15"/>
      <c r="Q114" s="16"/>
      <c r="R114" s="16"/>
      <c r="S114" s="16"/>
      <c r="T114" s="16"/>
      <c r="U114" s="66"/>
    </row>
    <row r="115" spans="1:21" x14ac:dyDescent="0.2">
      <c r="A115" s="5" t="s">
        <v>99</v>
      </c>
      <c r="B115" s="13" t="s">
        <v>202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35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36"/>
        <v>9750.8163852003163</v>
      </c>
      <c r="P115" s="119">
        <f>1539.48*1.06*1.06</f>
        <v>1729.7597280000002</v>
      </c>
      <c r="Q115" s="16">
        <f t="shared" ref="Q115:T117" si="40">P115*1.06</f>
        <v>1833.5453116800004</v>
      </c>
      <c r="R115" s="16">
        <f t="shared" si="40"/>
        <v>1943.5580303808006</v>
      </c>
      <c r="S115" s="16">
        <f t="shared" si="40"/>
        <v>2060.1715122036485</v>
      </c>
      <c r="T115" s="16">
        <f t="shared" si="40"/>
        <v>2183.7818029358673</v>
      </c>
      <c r="U115" s="66"/>
    </row>
    <row r="116" spans="1:21" x14ac:dyDescent="0.2">
      <c r="A116" s="5" t="s">
        <v>100</v>
      </c>
      <c r="B116" s="25" t="s">
        <v>101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35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36"/>
        <v>3631.4044751425399</v>
      </c>
      <c r="P116" s="15">
        <f>F116*1.06*1.06</f>
        <v>644.19808239999998</v>
      </c>
      <c r="Q116" s="16">
        <f t="shared" si="40"/>
        <v>682.84996734399999</v>
      </c>
      <c r="R116" s="16">
        <f t="shared" si="40"/>
        <v>723.82096538463998</v>
      </c>
      <c r="S116" s="16">
        <f t="shared" si="40"/>
        <v>767.25022330771844</v>
      </c>
      <c r="T116" s="16">
        <f t="shared" si="40"/>
        <v>813.28523670618154</v>
      </c>
      <c r="U116" s="66"/>
    </row>
    <row r="117" spans="1:21" x14ac:dyDescent="0.2">
      <c r="A117" s="5" t="s">
        <v>102</v>
      </c>
      <c r="B117" s="16" t="s">
        <v>103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35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 t="shared" si="40"/>
        <v>1365.3521580160002</v>
      </c>
      <c r="R117" s="16">
        <f t="shared" si="40"/>
        <v>1447.2732874969604</v>
      </c>
      <c r="S117" s="16">
        <f t="shared" si="40"/>
        <v>1534.1096847467782</v>
      </c>
      <c r="T117" s="16">
        <f t="shared" si="40"/>
        <v>1626.156265831585</v>
      </c>
      <c r="U117" s="66"/>
    </row>
    <row r="118" spans="1:21" x14ac:dyDescent="0.2">
      <c r="A118" s="5" t="s">
        <v>104</v>
      </c>
      <c r="B118" s="16" t="s">
        <v>105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35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36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</row>
    <row r="119" spans="1:21" x14ac:dyDescent="0.2">
      <c r="A119" s="5" t="s">
        <v>106</v>
      </c>
      <c r="B119" s="16" t="s">
        <v>107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35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 t="shared" ref="Q119:T120" si="41">P119*1.06</f>
        <v>911.09120000000007</v>
      </c>
      <c r="R119" s="16">
        <f t="shared" si="41"/>
        <v>965.75667200000009</v>
      </c>
      <c r="S119" s="16">
        <f t="shared" si="41"/>
        <v>1023.7020723200002</v>
      </c>
      <c r="T119" s="16">
        <f t="shared" si="41"/>
        <v>1085.1241966592002</v>
      </c>
      <c r="U119" s="66"/>
    </row>
    <row r="120" spans="1:21" x14ac:dyDescent="0.2">
      <c r="A120" s="5" t="s">
        <v>108</v>
      </c>
      <c r="B120" s="16" t="s">
        <v>109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35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 t="shared" si="41"/>
        <v>343.85340000000002</v>
      </c>
      <c r="R120" s="16">
        <f t="shared" si="41"/>
        <v>364.48460400000005</v>
      </c>
      <c r="S120" s="16">
        <f t="shared" si="41"/>
        <v>386.35368024000007</v>
      </c>
      <c r="T120" s="16">
        <f t="shared" si="41"/>
        <v>409.53490105440011</v>
      </c>
      <c r="U120" s="66"/>
    </row>
    <row r="121" spans="1:21" s="2" customFormat="1" ht="31.5" x14ac:dyDescent="0.2">
      <c r="A121" s="7" t="s">
        <v>199</v>
      </c>
      <c r="B121" s="21" t="s">
        <v>110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35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</row>
    <row r="122" spans="1:21" s="22" customFormat="1" ht="31.5" x14ac:dyDescent="0.2">
      <c r="A122" s="19" t="s">
        <v>111</v>
      </c>
      <c r="B122" s="20" t="s">
        <v>112</v>
      </c>
      <c r="C122" s="14" t="s">
        <v>1</v>
      </c>
      <c r="D122" s="10" t="s">
        <v>2</v>
      </c>
      <c r="E122" s="134">
        <v>1716695.49</v>
      </c>
      <c r="F122" s="11">
        <f t="shared" ref="F122:N122" si="42">F8+F84</f>
        <v>2082625.48694</v>
      </c>
      <c r="G122" s="11">
        <f t="shared" si="42"/>
        <v>2140676.4469999997</v>
      </c>
      <c r="H122" s="11">
        <f>1053292.07+323800+696578.8</f>
        <v>2073670.87</v>
      </c>
      <c r="I122" s="11">
        <f t="shared" si="42"/>
        <v>24892879.242495053</v>
      </c>
      <c r="J122" s="11">
        <f t="shared" si="42"/>
        <v>4033478.4947292558</v>
      </c>
      <c r="K122" s="11">
        <f t="shared" si="42"/>
        <v>4492082.0371057801</v>
      </c>
      <c r="L122" s="11">
        <f t="shared" si="42"/>
        <v>4905563.4353519948</v>
      </c>
      <c r="M122" s="11">
        <f t="shared" si="42"/>
        <v>5434021.5302000716</v>
      </c>
      <c r="N122" s="11">
        <f t="shared" si="42"/>
        <v>6029728.301107958</v>
      </c>
      <c r="O122" s="104">
        <f t="shared" ref="O122:T122" si="43">O8+O84</f>
        <v>10960252.401737701</v>
      </c>
      <c r="P122" s="11">
        <f t="shared" si="43"/>
        <v>2361430.1794960313</v>
      </c>
      <c r="Q122" s="11">
        <f t="shared" si="43"/>
        <v>2604759.4414240625</v>
      </c>
      <c r="R122" s="11">
        <f t="shared" si="43"/>
        <v>2787267.3756687464</v>
      </c>
      <c r="S122" s="11">
        <f t="shared" si="43"/>
        <v>3014545.547300789</v>
      </c>
      <c r="T122" s="11">
        <f t="shared" si="43"/>
        <v>3300230.4130014936</v>
      </c>
      <c r="U122" s="66"/>
    </row>
    <row r="123" spans="1:21" s="55" customFormat="1" x14ac:dyDescent="0.2">
      <c r="A123" s="52" t="s">
        <v>113</v>
      </c>
      <c r="B123" s="53" t="s">
        <v>114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1017567.9980849909</v>
      </c>
      <c r="J123" s="54">
        <v>254864.91473577952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203886.96</v>
      </c>
      <c r="Q123" s="58">
        <v>199641.96</v>
      </c>
      <c r="R123" s="58">
        <v>174472.86</v>
      </c>
      <c r="S123" s="58">
        <v>145315.13</v>
      </c>
      <c r="T123" s="58">
        <v>90730</v>
      </c>
      <c r="U123" s="66"/>
    </row>
    <row r="124" spans="1:21" s="22" customFormat="1" ht="31.5" x14ac:dyDescent="0.2">
      <c r="A124" s="19" t="s">
        <v>115</v>
      </c>
      <c r="B124" s="20" t="s">
        <v>116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</row>
    <row r="125" spans="1:21" s="22" customFormat="1" x14ac:dyDescent="0.2">
      <c r="A125" s="19" t="s">
        <v>117</v>
      </c>
      <c r="B125" s="20" t="s">
        <v>228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2565317.1394960312</v>
      </c>
      <c r="Q125" s="12">
        <f>Q122+Q123</f>
        <v>2804401.4014240624</v>
      </c>
      <c r="R125" s="12">
        <f>R122+R123</f>
        <v>2961740.2356687463</v>
      </c>
      <c r="S125" s="12">
        <f>S122+S123</f>
        <v>3159860.6773007889</v>
      </c>
      <c r="T125" s="12">
        <f>T122+T123</f>
        <v>3390960.4130014936</v>
      </c>
      <c r="U125" s="66">
        <f>P125-J125</f>
        <v>-1723026.2699690042</v>
      </c>
    </row>
    <row r="126" spans="1:21" s="22" customFormat="1" ht="31.5" x14ac:dyDescent="0.2">
      <c r="A126" s="19" t="s">
        <v>229</v>
      </c>
      <c r="B126" s="20" t="s">
        <v>230</v>
      </c>
      <c r="C126" s="33" t="s">
        <v>231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</row>
    <row r="127" spans="1:21" s="22" customFormat="1" x14ac:dyDescent="0.2">
      <c r="A127" s="368" t="s">
        <v>232</v>
      </c>
      <c r="B127" s="370" t="s">
        <v>233</v>
      </c>
      <c r="C127" s="33" t="s">
        <v>234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</row>
    <row r="128" spans="1:21" s="22" customFormat="1" x14ac:dyDescent="0.2">
      <c r="A128" s="369"/>
      <c r="B128" s="371"/>
      <c r="C128" s="33" t="s">
        <v>231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</row>
    <row r="129" spans="1:21" s="22" customFormat="1" ht="31.5" x14ac:dyDescent="0.2">
      <c r="A129" s="19" t="s">
        <v>235</v>
      </c>
      <c r="B129" s="20" t="s">
        <v>236</v>
      </c>
      <c r="C129" s="33" t="s">
        <v>237</v>
      </c>
      <c r="D129" s="10" t="s">
        <v>2</v>
      </c>
      <c r="E129" s="157">
        <v>1.49</v>
      </c>
      <c r="F129" s="33">
        <f t="shared" ref="F129:N129" si="44">F125/F126</f>
        <v>1.6499999994428611</v>
      </c>
      <c r="G129" s="37">
        <f t="shared" si="44"/>
        <v>1.6723071119474751</v>
      </c>
      <c r="H129" s="154">
        <f>H125/H126</f>
        <v>1.734465375130575</v>
      </c>
      <c r="I129" s="21">
        <f t="shared" si="44"/>
        <v>3.8356240429613662</v>
      </c>
      <c r="J129" s="21">
        <f t="shared" si="44"/>
        <v>3.2397598473922695</v>
      </c>
      <c r="K129" s="21">
        <f t="shared" si="44"/>
        <v>3.5517784373299524</v>
      </c>
      <c r="L129" s="21">
        <f t="shared" si="44"/>
        <v>3.7829906686458883</v>
      </c>
      <c r="M129" s="21">
        <f t="shared" si="44"/>
        <v>4.1154448455094617</v>
      </c>
      <c r="N129" s="21">
        <f t="shared" si="44"/>
        <v>4.457562332893108</v>
      </c>
      <c r="O129" s="148">
        <f t="shared" ref="O129:T129" si="45">O125/O126</f>
        <v>0</v>
      </c>
      <c r="P129" s="153">
        <f t="shared" si="45"/>
        <v>1.9380470897043254</v>
      </c>
      <c r="Q129" s="21">
        <f t="shared" si="45"/>
        <v>2.1006706563929018</v>
      </c>
      <c r="R129" s="21">
        <f t="shared" si="45"/>
        <v>2.1867673857811365</v>
      </c>
      <c r="S129" s="21">
        <f t="shared" si="45"/>
        <v>2.3157051272605171</v>
      </c>
      <c r="T129" s="21">
        <f t="shared" si="45"/>
        <v>2.4605347910224569</v>
      </c>
      <c r="U129" s="66"/>
    </row>
    <row r="130" spans="1:21" s="22" customFormat="1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15">
        <f>P129-1.734</f>
        <v>0.20404708970432539</v>
      </c>
      <c r="Q130" s="34">
        <f>Q129-P129</f>
        <v>0.16262356668857647</v>
      </c>
      <c r="R130" s="34">
        <f>R129-Q129</f>
        <v>8.609672938823465E-2</v>
      </c>
      <c r="S130" s="34">
        <f>S129-R129</f>
        <v>0.12893774147938064</v>
      </c>
      <c r="T130" s="34">
        <f>T129-S129</f>
        <v>0.14482966376193973</v>
      </c>
      <c r="U130" s="33"/>
    </row>
    <row r="131" spans="1:21" s="22" customFormat="1" x14ac:dyDescent="0.2">
      <c r="A131" s="36"/>
      <c r="B131" s="13" t="s">
        <v>238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</row>
    <row r="132" spans="1:21" s="22" customFormat="1" ht="31.5" x14ac:dyDescent="0.2">
      <c r="A132" s="19" t="s">
        <v>239</v>
      </c>
      <c r="B132" s="8" t="s">
        <v>240</v>
      </c>
      <c r="C132" s="9" t="s">
        <v>241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</row>
    <row r="133" spans="1:21" x14ac:dyDescent="0.2">
      <c r="A133" s="5" t="s">
        <v>242</v>
      </c>
      <c r="B133" s="13" t="s">
        <v>243</v>
      </c>
      <c r="C133" s="14" t="s">
        <v>241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</row>
    <row r="134" spans="1:21" x14ac:dyDescent="0.2">
      <c r="A134" s="5" t="s">
        <v>244</v>
      </c>
      <c r="B134" s="13" t="s">
        <v>245</v>
      </c>
      <c r="C134" s="14" t="s">
        <v>241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</row>
    <row r="135" spans="1:21" s="2" customFormat="1" ht="31.5" x14ac:dyDescent="0.2">
      <c r="A135" s="7" t="s">
        <v>246</v>
      </c>
      <c r="B135" s="24" t="s">
        <v>252</v>
      </c>
      <c r="C135" s="37" t="s">
        <v>253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61966.640703635225</v>
      </c>
      <c r="Q135" s="21">
        <f>(Q17+Q86)*1000/12/Q132</f>
        <v>65582.406244459024</v>
      </c>
      <c r="R135" s="21">
        <f>(R17+R86)*1000/12/R132</f>
        <v>68927.311377760547</v>
      </c>
      <c r="S135" s="21">
        <f>(S17+S86)*1000/12/S132</f>
        <v>72782.154710462957</v>
      </c>
      <c r="T135" s="21">
        <f>(T17+T86)*1000/12/T132</f>
        <v>77030.666366086763</v>
      </c>
      <c r="U135" s="111"/>
    </row>
    <row r="136" spans="1:21" x14ac:dyDescent="0.2">
      <c r="A136" s="5" t="s">
        <v>254</v>
      </c>
      <c r="B136" s="13" t="s">
        <v>243</v>
      </c>
      <c r="C136" s="6" t="s">
        <v>253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59995.786279791777</v>
      </c>
      <c r="Q136" s="16">
        <f>Q17/12*1000/Q133</f>
        <v>63488.918983056108</v>
      </c>
      <c r="R136" s="16">
        <f>R17/12*1000/R133</f>
        <v>66683.402963117187</v>
      </c>
      <c r="S136" s="16">
        <f>S17/12*1000/S133</f>
        <v>70392.081222207344</v>
      </c>
      <c r="T136" s="16">
        <f>T17/12*1000/T133</f>
        <v>74492.376357974892</v>
      </c>
    </row>
    <row r="137" spans="1:21" x14ac:dyDescent="0.2">
      <c r="A137" s="5" t="s">
        <v>255</v>
      </c>
      <c r="B137" s="13" t="s">
        <v>245</v>
      </c>
      <c r="C137" s="6" t="s">
        <v>253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</row>
    <row r="138" spans="1:21" s="2" customFormat="1" ht="47.25" x14ac:dyDescent="0.2">
      <c r="A138" s="7" t="s">
        <v>256</v>
      </c>
      <c r="B138" s="24" t="s">
        <v>257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</row>
    <row r="139" spans="1:21" s="2" customFormat="1" ht="31.5" x14ac:dyDescent="0.2">
      <c r="A139" s="7" t="s">
        <v>258</v>
      </c>
      <c r="B139" s="24" t="s">
        <v>259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</row>
    <row r="140" spans="1:21" s="2" customFormat="1" ht="63" x14ac:dyDescent="0.2">
      <c r="A140" s="7" t="s">
        <v>260</v>
      </c>
      <c r="B140" s="24" t="s">
        <v>261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N140" si="46">G25</f>
        <v>93616.365999999995</v>
      </c>
      <c r="H140" s="21"/>
      <c r="I140" s="21">
        <f t="shared" si="46"/>
        <v>1667189.0600838566</v>
      </c>
      <c r="J140" s="21">
        <f t="shared" si="46"/>
        <v>272764.4323708351</v>
      </c>
      <c r="K140" s="21">
        <f t="shared" si="46"/>
        <v>335013.72199742129</v>
      </c>
      <c r="L140" s="21">
        <f t="shared" si="46"/>
        <v>318175.86927500006</v>
      </c>
      <c r="M140" s="21">
        <f t="shared" si="46"/>
        <v>357754.38045310002</v>
      </c>
      <c r="N140" s="21">
        <f t="shared" si="46"/>
        <v>383480.65598750004</v>
      </c>
      <c r="O140" s="148">
        <f t="shared" ref="O140:T140" si="47">O25</f>
        <v>817395.6399999999</v>
      </c>
      <c r="P140" s="12">
        <f t="shared" si="47"/>
        <v>103926.48</v>
      </c>
      <c r="Q140" s="21">
        <f t="shared" si="47"/>
        <v>163401.60999999999</v>
      </c>
      <c r="R140" s="21">
        <f t="shared" si="47"/>
        <v>172872.08</v>
      </c>
      <c r="S140" s="21">
        <f t="shared" si="47"/>
        <v>183177.68</v>
      </c>
      <c r="T140" s="21">
        <f t="shared" si="47"/>
        <v>194017.79</v>
      </c>
      <c r="U140" s="111"/>
    </row>
    <row r="141" spans="1:21" x14ac:dyDescent="0.2">
      <c r="A141" s="5" t="s">
        <v>262</v>
      </c>
      <c r="B141" s="13" t="s">
        <v>263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N141" si="48">G140-G144</f>
        <v>84260.525999999998</v>
      </c>
      <c r="H141" s="16"/>
      <c r="I141" s="16">
        <f t="shared" si="48"/>
        <v>1622213.8142438566</v>
      </c>
      <c r="J141" s="16">
        <f t="shared" si="48"/>
        <v>266448.86437083507</v>
      </c>
      <c r="K141" s="16">
        <f t="shared" si="48"/>
        <v>326874.39891742129</v>
      </c>
      <c r="L141" s="16">
        <f t="shared" si="48"/>
        <v>309206.41927500005</v>
      </c>
      <c r="M141" s="16">
        <f t="shared" si="48"/>
        <v>348328.0881931</v>
      </c>
      <c r="N141" s="16">
        <f t="shared" si="48"/>
        <v>371356.04348750005</v>
      </c>
      <c r="O141" s="136">
        <f t="shared" ref="O141:T141" si="49">O140-O144</f>
        <v>772420.39415999991</v>
      </c>
      <c r="P141" s="15">
        <f t="shared" si="49"/>
        <v>97610.911999999997</v>
      </c>
      <c r="Q141" s="16">
        <f t="shared" si="49"/>
        <v>155262.28691999998</v>
      </c>
      <c r="R141" s="16">
        <f t="shared" si="49"/>
        <v>163902.62999999998</v>
      </c>
      <c r="S141" s="16">
        <f t="shared" si="49"/>
        <v>173751.38774000001</v>
      </c>
      <c r="T141" s="16">
        <f t="shared" si="49"/>
        <v>181893.17750000002</v>
      </c>
    </row>
    <row r="142" spans="1:21" x14ac:dyDescent="0.2">
      <c r="A142" s="5" t="s">
        <v>264</v>
      </c>
      <c r="B142" s="13" t="s">
        <v>265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</row>
    <row r="143" spans="1:21" x14ac:dyDescent="0.2">
      <c r="A143" s="5" t="s">
        <v>266</v>
      </c>
      <c r="B143" s="13" t="s">
        <v>267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</row>
    <row r="144" spans="1:21" x14ac:dyDescent="0.2">
      <c r="A144" s="5" t="s">
        <v>268</v>
      </c>
      <c r="B144" s="13" t="s">
        <v>269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</row>
    <row r="147" spans="1:21" ht="40.15" customHeight="1" x14ac:dyDescent="0.25">
      <c r="A147" s="366" t="s">
        <v>270</v>
      </c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</row>
    <row r="148" spans="1:21" ht="110.25" x14ac:dyDescent="0.2">
      <c r="A148" s="38">
        <v>9</v>
      </c>
      <c r="B148" s="39" t="s">
        <v>247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</row>
    <row r="149" spans="1:21" ht="47.25" x14ac:dyDescent="0.2">
      <c r="A149" s="38">
        <v>10</v>
      </c>
      <c r="B149" s="39" t="s">
        <v>248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</row>
    <row r="150" spans="1:21" ht="63" x14ac:dyDescent="0.2">
      <c r="A150" s="38">
        <v>11</v>
      </c>
      <c r="B150" s="39" t="s">
        <v>118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</row>
    <row r="151" spans="1:21" x14ac:dyDescent="0.2">
      <c r="A151" s="38" t="s">
        <v>119</v>
      </c>
      <c r="B151" s="39" t="s">
        <v>120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</row>
    <row r="152" spans="1:21" ht="63" x14ac:dyDescent="0.2">
      <c r="A152" s="38" t="s">
        <v>121</v>
      </c>
      <c r="B152" s="39" t="s">
        <v>122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</row>
    <row r="153" spans="1:21" x14ac:dyDescent="0.2">
      <c r="A153" s="38" t="s">
        <v>123</v>
      </c>
      <c r="B153" s="39" t="s">
        <v>124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</row>
    <row r="154" spans="1:21" ht="78.75" x14ac:dyDescent="0.2">
      <c r="A154" s="38" t="s">
        <v>125</v>
      </c>
      <c r="B154" s="39" t="s">
        <v>126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</row>
    <row r="155" spans="1:21" x14ac:dyDescent="0.2">
      <c r="A155" s="38">
        <v>12</v>
      </c>
      <c r="B155" s="39" t="s">
        <v>127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</row>
    <row r="156" spans="1:21" ht="63" x14ac:dyDescent="0.2">
      <c r="A156" s="38"/>
      <c r="B156" s="39" t="s">
        <v>128</v>
      </c>
      <c r="C156" s="40" t="s">
        <v>231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</row>
    <row r="157" spans="1:21" ht="47.25" x14ac:dyDescent="0.2">
      <c r="A157" s="38"/>
      <c r="B157" s="39" t="s">
        <v>129</v>
      </c>
      <c r="C157" s="40" t="s">
        <v>130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</row>
    <row r="158" spans="1:21" x14ac:dyDescent="0.2">
      <c r="A158" s="38"/>
      <c r="B158" s="39" t="s">
        <v>131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</row>
    <row r="161" spans="1:14" ht="18.75" x14ac:dyDescent="0.2">
      <c r="A161" s="365"/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</row>
    <row r="163" spans="1:14" x14ac:dyDescent="0.2">
      <c r="G163" s="45"/>
      <c r="H163" s="45"/>
    </row>
    <row r="184" spans="16:17" x14ac:dyDescent="0.2">
      <c r="P184" s="121">
        <f>P129/1.734*100-100</f>
        <v>11.767421551575865</v>
      </c>
      <c r="Q184" s="158">
        <f>T129-1.734</f>
        <v>0.72653479102245688</v>
      </c>
    </row>
  </sheetData>
  <mergeCells count="22">
    <mergeCell ref="A161:N161"/>
    <mergeCell ref="A147:N147"/>
    <mergeCell ref="H6:H7"/>
    <mergeCell ref="G6:G7"/>
    <mergeCell ref="I6:N6"/>
    <mergeCell ref="A6:A7"/>
    <mergeCell ref="A127:A128"/>
    <mergeCell ref="B127:B128"/>
    <mergeCell ref="C6:C7"/>
    <mergeCell ref="D6:D7"/>
    <mergeCell ref="U6:U7"/>
    <mergeCell ref="O6:T6"/>
    <mergeCell ref="A4:N4"/>
    <mergeCell ref="B6:B7"/>
    <mergeCell ref="B5:F5"/>
    <mergeCell ref="F6:F7"/>
    <mergeCell ref="E6:E7"/>
    <mergeCell ref="Q1:T1"/>
    <mergeCell ref="A3:N3"/>
    <mergeCell ref="K1:N1"/>
    <mergeCell ref="R2:T2"/>
    <mergeCell ref="L2:N2"/>
  </mergeCells>
  <phoneticPr fontId="28" type="noConversion"/>
  <printOptions horizontalCentered="1"/>
  <pageMargins left="0" right="0" top="0" bottom="0" header="0.51181102362204722" footer="0.27559055118110237"/>
  <pageSetup paperSize="9" scale="4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2"/>
  <sheetViews>
    <sheetView showZeros="0" zoomScale="70" zoomScaleNormal="70" zoomScaleSheetLayoutView="75" workbookViewId="0">
      <pane xSplit="2" ySplit="10" topLeftCell="C23" activePane="bottomRight" state="frozen"/>
      <selection pane="topRight" activeCell="F1" sqref="F1"/>
      <selection pane="bottomLeft" activeCell="A5" sqref="A5"/>
      <selection pane="bottomRight" activeCell="A11" sqref="A11:IV162"/>
    </sheetView>
  </sheetViews>
  <sheetFormatPr defaultColWidth="9.140625" defaultRowHeight="15.75" outlineLevelRow="1" x14ac:dyDescent="0.2"/>
  <cols>
    <col min="1" max="1" width="8.5703125" style="1" customWidth="1"/>
    <col min="2" max="2" width="43.5703125" style="4" customWidth="1"/>
    <col min="3" max="3" width="14.28515625" style="4" customWidth="1"/>
    <col min="4" max="4" width="14.7109375" style="4" customWidth="1"/>
    <col min="5" max="5" width="16" style="3" customWidth="1"/>
    <col min="6" max="6" width="14.5703125" style="3" customWidth="1"/>
    <col min="7" max="7" width="16.42578125" style="3" customWidth="1"/>
    <col min="8" max="8" width="14.7109375" style="3" customWidth="1"/>
    <col min="9" max="9" width="14.7109375" style="46" customWidth="1"/>
    <col min="10" max="10" width="14.7109375" style="3" hidden="1" customWidth="1"/>
    <col min="11" max="11" width="13.85546875" style="3" bestFit="1" customWidth="1"/>
    <col min="12" max="12" width="13.85546875" style="46" customWidth="1"/>
    <col min="13" max="13" width="13.85546875" style="3" hidden="1" customWidth="1"/>
    <col min="14" max="14" width="13.85546875" style="3" bestFit="1" customWidth="1"/>
    <col min="15" max="15" width="13.85546875" style="46" customWidth="1"/>
    <col min="16" max="16" width="13.85546875" style="3" hidden="1" customWidth="1"/>
    <col min="17" max="17" width="13.85546875" style="3" bestFit="1" customWidth="1"/>
    <col min="18" max="18" width="13.85546875" style="46" customWidth="1"/>
    <col min="19" max="19" width="13.85546875" style="3" hidden="1" customWidth="1"/>
    <col min="20" max="20" width="13.85546875" style="3" bestFit="1" customWidth="1"/>
    <col min="21" max="21" width="11.42578125" style="46" customWidth="1"/>
    <col min="22" max="22" width="14.42578125" style="3" hidden="1" customWidth="1"/>
    <col min="23" max="16384" width="9.140625" style="3"/>
  </cols>
  <sheetData>
    <row r="1" spans="1:22" x14ac:dyDescent="0.2">
      <c r="B1" s="2"/>
      <c r="C1" s="2"/>
      <c r="D1" s="2"/>
      <c r="K1" s="372" t="s">
        <v>155</v>
      </c>
      <c r="L1" s="372"/>
      <c r="M1" s="372"/>
      <c r="N1" s="372"/>
      <c r="O1" s="372"/>
      <c r="P1" s="372"/>
      <c r="Q1" s="372"/>
      <c r="R1" s="372"/>
      <c r="S1" s="372"/>
      <c r="T1" s="372"/>
    </row>
    <row r="2" spans="1:22" x14ac:dyDescent="0.2">
      <c r="B2" s="2"/>
      <c r="C2" s="2"/>
      <c r="D2" s="2"/>
      <c r="K2" s="356" t="s">
        <v>156</v>
      </c>
      <c r="L2" s="356"/>
      <c r="M2" s="356"/>
      <c r="N2" s="356"/>
      <c r="O2" s="356"/>
      <c r="P2" s="356"/>
      <c r="Q2" s="356"/>
      <c r="R2" s="356"/>
      <c r="S2" s="356"/>
      <c r="T2" s="356"/>
    </row>
    <row r="3" spans="1:22" x14ac:dyDescent="0.2">
      <c r="B3" s="2"/>
      <c r="C3" s="2"/>
      <c r="D3" s="2"/>
      <c r="K3" s="356" t="s">
        <v>157</v>
      </c>
      <c r="L3" s="356"/>
      <c r="M3" s="356"/>
      <c r="N3" s="356"/>
      <c r="O3" s="356"/>
      <c r="P3" s="356"/>
      <c r="Q3" s="356"/>
      <c r="R3" s="356"/>
      <c r="S3" s="356"/>
      <c r="T3" s="356"/>
    </row>
    <row r="4" spans="1:22" x14ac:dyDescent="0.2">
      <c r="B4" s="2"/>
      <c r="C4" s="2"/>
      <c r="D4" s="2"/>
      <c r="K4" s="356" t="s">
        <v>158</v>
      </c>
      <c r="L4" s="356"/>
      <c r="M4" s="356"/>
      <c r="N4" s="356"/>
      <c r="O4" s="356"/>
      <c r="P4" s="356"/>
      <c r="Q4" s="356"/>
      <c r="R4" s="356"/>
      <c r="S4" s="356"/>
      <c r="T4" s="356"/>
    </row>
    <row r="5" spans="1:22" x14ac:dyDescent="0.2">
      <c r="B5" s="2"/>
      <c r="C5" s="2"/>
      <c r="D5" s="2"/>
      <c r="N5" s="356"/>
      <c r="O5" s="356"/>
      <c r="P5" s="356"/>
      <c r="Q5" s="356"/>
      <c r="R5" s="356"/>
      <c r="S5" s="356"/>
      <c r="T5" s="356"/>
    </row>
    <row r="6" spans="1:22" x14ac:dyDescent="0.2">
      <c r="A6" s="357" t="s">
        <v>159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</row>
    <row r="7" spans="1:22" x14ac:dyDescent="0.2">
      <c r="A7" s="357" t="s">
        <v>160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</row>
    <row r="8" spans="1:22" x14ac:dyDescent="0.2">
      <c r="B8" s="361"/>
      <c r="C8" s="361"/>
      <c r="D8" s="361"/>
      <c r="E8" s="361"/>
    </row>
    <row r="9" spans="1:22" ht="15.75" customHeight="1" x14ac:dyDescent="0.2">
      <c r="A9" s="367" t="s">
        <v>161</v>
      </c>
      <c r="B9" s="360" t="s">
        <v>162</v>
      </c>
      <c r="C9" s="358" t="s">
        <v>163</v>
      </c>
      <c r="D9" s="358" t="s">
        <v>164</v>
      </c>
      <c r="E9" s="358" t="s">
        <v>165</v>
      </c>
      <c r="F9" s="358" t="s">
        <v>166</v>
      </c>
      <c r="G9" s="360" t="s">
        <v>167</v>
      </c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</row>
    <row r="10" spans="1:22" ht="63" x14ac:dyDescent="0.2">
      <c r="A10" s="367"/>
      <c r="B10" s="360"/>
      <c r="C10" s="359"/>
      <c r="D10" s="362"/>
      <c r="E10" s="362"/>
      <c r="F10" s="362"/>
      <c r="G10" s="6" t="s">
        <v>168</v>
      </c>
      <c r="H10" s="6" t="s">
        <v>169</v>
      </c>
      <c r="I10" s="6" t="s">
        <v>132</v>
      </c>
      <c r="J10" s="6"/>
      <c r="K10" s="6" t="s">
        <v>170</v>
      </c>
      <c r="L10" s="6" t="s">
        <v>133</v>
      </c>
      <c r="M10" s="6"/>
      <c r="N10" s="6" t="s">
        <v>171</v>
      </c>
      <c r="O10" s="6" t="s">
        <v>134</v>
      </c>
      <c r="P10" s="6"/>
      <c r="Q10" s="6" t="s">
        <v>172</v>
      </c>
      <c r="R10" s="6" t="s">
        <v>135</v>
      </c>
      <c r="S10" s="6"/>
      <c r="T10" s="6" t="s">
        <v>173</v>
      </c>
      <c r="U10" s="6" t="s">
        <v>136</v>
      </c>
      <c r="V10" s="16"/>
    </row>
    <row r="11" spans="1:22" s="67" customFormat="1" ht="31.5" x14ac:dyDescent="0.2">
      <c r="A11" s="61" t="s">
        <v>174</v>
      </c>
      <c r="B11" s="62" t="s">
        <v>0</v>
      </c>
      <c r="C11" s="63" t="s">
        <v>1</v>
      </c>
      <c r="D11" s="64" t="s">
        <v>2</v>
      </c>
      <c r="E11" s="65">
        <f t="shared" ref="E11:T11" si="0">E12+E19+E27+E28+E40+E46+E23</f>
        <v>1799873.5719399999</v>
      </c>
      <c r="F11" s="65">
        <f t="shared" si="0"/>
        <v>1866406.5389999996</v>
      </c>
      <c r="G11" s="65">
        <f t="shared" si="0"/>
        <v>512922193.93677998</v>
      </c>
      <c r="H11" s="65">
        <f t="shared" si="0"/>
        <v>3601051.0428215438</v>
      </c>
      <c r="I11" s="66">
        <f>H11/J11*100</f>
        <v>89.286493055543119</v>
      </c>
      <c r="J11" s="65">
        <v>4033141.99</v>
      </c>
      <c r="K11" s="65">
        <f t="shared" si="0"/>
        <v>4014868.2921087607</v>
      </c>
      <c r="L11" s="66">
        <f>K11/M11*100</f>
        <v>89.384212430233802</v>
      </c>
      <c r="M11" s="65">
        <v>4491697.34</v>
      </c>
      <c r="N11" s="65">
        <f t="shared" si="0"/>
        <v>4429813.0857111597</v>
      </c>
      <c r="O11" s="66">
        <f>N11/P11*100</f>
        <v>90.308911704524718</v>
      </c>
      <c r="P11" s="65">
        <v>4905178.24</v>
      </c>
      <c r="Q11" s="65">
        <f t="shared" si="0"/>
        <v>4932545.6198971467</v>
      </c>
      <c r="R11" s="66">
        <f t="shared" ref="R11:R42" si="1">Q11/S11*100</f>
        <v>90.779157023308173</v>
      </c>
      <c r="S11" s="65">
        <v>5433566.2300000004</v>
      </c>
      <c r="T11" s="65">
        <f t="shared" si="0"/>
        <v>5490379.9417476477</v>
      </c>
      <c r="U11" s="108">
        <f t="shared" ref="U11:U42" si="2">T11/V11*100</f>
        <v>91.061716701039217</v>
      </c>
      <c r="V11" s="70">
        <v>6029295.4500000002</v>
      </c>
    </row>
    <row r="12" spans="1:22" s="85" customFormat="1" x14ac:dyDescent="0.2">
      <c r="A12" s="78" t="s">
        <v>3</v>
      </c>
      <c r="B12" s="79" t="s">
        <v>4</v>
      </c>
      <c r="C12" s="80" t="s">
        <v>1</v>
      </c>
      <c r="D12" s="81" t="s">
        <v>2</v>
      </c>
      <c r="E12" s="82">
        <f t="shared" ref="E12:T12" si="3">E13+E15+E17+E18</f>
        <v>445167.71193999995</v>
      </c>
      <c r="F12" s="82">
        <f t="shared" si="3"/>
        <v>488354.75899999996</v>
      </c>
      <c r="G12" s="82">
        <f t="shared" si="3"/>
        <v>80820626.054276839</v>
      </c>
      <c r="H12" s="82">
        <f t="shared" si="3"/>
        <v>900465.65892629395</v>
      </c>
      <c r="I12" s="83">
        <f t="shared" ref="I12:I75" si="4">H12/J12*100</f>
        <v>22.326654036950828</v>
      </c>
      <c r="J12" s="84">
        <v>4033141.99</v>
      </c>
      <c r="K12" s="82">
        <f t="shared" si="3"/>
        <v>974045.27349252137</v>
      </c>
      <c r="L12" s="107">
        <f t="shared" ref="L12:L75" si="5">K12/M12*100</f>
        <v>21.685460968581676</v>
      </c>
      <c r="M12" s="65">
        <v>4491697.34</v>
      </c>
      <c r="N12" s="82">
        <f t="shared" si="3"/>
        <v>1064376.8686915329</v>
      </c>
      <c r="O12" s="107">
        <f t="shared" ref="O12:O75" si="6">N12/P12*100</f>
        <v>21.699045714830799</v>
      </c>
      <c r="P12" s="65">
        <v>4905178.24</v>
      </c>
      <c r="Q12" s="82">
        <f t="shared" si="3"/>
        <v>1157108.8855180885</v>
      </c>
      <c r="R12" s="107">
        <f t="shared" si="1"/>
        <v>21.295569733362544</v>
      </c>
      <c r="S12" s="65">
        <v>5433566.2300000004</v>
      </c>
      <c r="T12" s="82">
        <f t="shared" si="3"/>
        <v>1270207.160917935</v>
      </c>
      <c r="U12" s="109">
        <f t="shared" si="2"/>
        <v>21.067256886837995</v>
      </c>
      <c r="V12" s="70">
        <v>6029295.4500000002</v>
      </c>
    </row>
    <row r="13" spans="1:22" s="91" customFormat="1" x14ac:dyDescent="0.2">
      <c r="A13" s="86" t="s">
        <v>5</v>
      </c>
      <c r="B13" s="87" t="s">
        <v>6</v>
      </c>
      <c r="C13" s="88" t="s">
        <v>1</v>
      </c>
      <c r="D13" s="81" t="s">
        <v>2</v>
      </c>
      <c r="E13" s="89">
        <f>48746.987+1.18</f>
        <v>48748.167000000001</v>
      </c>
      <c r="F13" s="89">
        <v>51206.038999999997</v>
      </c>
      <c r="G13" s="90">
        <f>SUM(H13:T13)</f>
        <v>20259196.856106739</v>
      </c>
      <c r="H13" s="90">
        <v>243431.5565914968</v>
      </c>
      <c r="I13" s="83">
        <f t="shared" si="4"/>
        <v>6.0357794790035841</v>
      </c>
      <c r="J13" s="84">
        <v>4033141.99</v>
      </c>
      <c r="K13" s="90">
        <v>260567.17725275148</v>
      </c>
      <c r="L13" s="107">
        <f t="shared" si="5"/>
        <v>5.8010849246746332</v>
      </c>
      <c r="M13" s="65">
        <v>4491697.34</v>
      </c>
      <c r="N13" s="90">
        <v>278012.67314594</v>
      </c>
      <c r="O13" s="107">
        <f t="shared" si="6"/>
        <v>5.6677384499271524</v>
      </c>
      <c r="P13" s="65">
        <v>4905178.24</v>
      </c>
      <c r="Q13" s="90">
        <v>295400.44658662687</v>
      </c>
      <c r="R13" s="107">
        <f t="shared" si="1"/>
        <v>5.4365849992892574</v>
      </c>
      <c r="S13" s="65">
        <v>5433566.2300000004</v>
      </c>
      <c r="T13" s="90">
        <v>318178.2613420657</v>
      </c>
      <c r="U13" s="109">
        <f t="shared" si="2"/>
        <v>5.2772046747529302</v>
      </c>
      <c r="V13" s="70">
        <v>6029295.4500000002</v>
      </c>
    </row>
    <row r="14" spans="1:22" s="91" customFormat="1" x14ac:dyDescent="0.2">
      <c r="A14" s="86" t="s">
        <v>7</v>
      </c>
      <c r="B14" s="87" t="s">
        <v>8</v>
      </c>
      <c r="C14" s="88"/>
      <c r="D14" s="81"/>
      <c r="E14" s="89"/>
      <c r="F14" s="89"/>
      <c r="G14" s="90"/>
      <c r="H14" s="90"/>
      <c r="I14" s="83">
        <f t="shared" si="4"/>
        <v>0</v>
      </c>
      <c r="J14" s="84">
        <v>4033141.99</v>
      </c>
      <c r="K14" s="90"/>
      <c r="L14" s="107">
        <f t="shared" si="5"/>
        <v>0</v>
      </c>
      <c r="M14" s="65">
        <v>4491697.34</v>
      </c>
      <c r="N14" s="90"/>
      <c r="O14" s="107">
        <f t="shared" si="6"/>
        <v>0</v>
      </c>
      <c r="P14" s="65">
        <v>4905178.24</v>
      </c>
      <c r="Q14" s="90"/>
      <c r="R14" s="107">
        <f t="shared" si="1"/>
        <v>0</v>
      </c>
      <c r="S14" s="65">
        <v>5433566.2300000004</v>
      </c>
      <c r="T14" s="90"/>
      <c r="U14" s="109">
        <f t="shared" si="2"/>
        <v>0</v>
      </c>
      <c r="V14" s="70">
        <v>6029295.4500000002</v>
      </c>
    </row>
    <row r="15" spans="1:22" s="91" customFormat="1" x14ac:dyDescent="0.2">
      <c r="A15" s="86" t="s">
        <v>9</v>
      </c>
      <c r="B15" s="87" t="s">
        <v>10</v>
      </c>
      <c r="C15" s="88" t="s">
        <v>1</v>
      </c>
      <c r="D15" s="81" t="s">
        <v>2</v>
      </c>
      <c r="E15" s="92">
        <v>33237.317000000003</v>
      </c>
      <c r="F15" s="92">
        <v>33754.847000000002</v>
      </c>
      <c r="G15" s="90">
        <f>SUM(H15:T15)</f>
        <v>19191225.955678061</v>
      </c>
      <c r="H15" s="90">
        <v>56972.985733357134</v>
      </c>
      <c r="I15" s="83">
        <f t="shared" si="4"/>
        <v>1.4126203807011797</v>
      </c>
      <c r="J15" s="84">
        <v>4033141.99</v>
      </c>
      <c r="K15" s="90">
        <v>60961.094734692131</v>
      </c>
      <c r="L15" s="107">
        <f t="shared" si="5"/>
        <v>1.3571950672591875</v>
      </c>
      <c r="M15" s="65">
        <v>4491697.34</v>
      </c>
      <c r="N15" s="90">
        <v>65228.371366120584</v>
      </c>
      <c r="O15" s="107">
        <f t="shared" si="6"/>
        <v>1.329785956282</v>
      </c>
      <c r="P15" s="65">
        <v>4905178.24</v>
      </c>
      <c r="Q15" s="90">
        <v>69794.357361749033</v>
      </c>
      <c r="R15" s="107">
        <f t="shared" si="1"/>
        <v>1.2845036649484076</v>
      </c>
      <c r="S15" s="65">
        <v>5433566.2300000004</v>
      </c>
      <c r="T15" s="90">
        <v>74679.962377071468</v>
      </c>
      <c r="U15" s="109">
        <f t="shared" si="2"/>
        <v>1.2386183924204854</v>
      </c>
      <c r="V15" s="70">
        <v>6029295.4500000002</v>
      </c>
    </row>
    <row r="16" spans="1:22" s="91" customFormat="1" x14ac:dyDescent="0.2">
      <c r="A16" s="86" t="s">
        <v>11</v>
      </c>
      <c r="B16" s="87" t="s">
        <v>12</v>
      </c>
      <c r="C16" s="88"/>
      <c r="D16" s="81"/>
      <c r="E16" s="92"/>
      <c r="F16" s="92"/>
      <c r="G16" s="90"/>
      <c r="H16" s="90"/>
      <c r="I16" s="83">
        <f t="shared" si="4"/>
        <v>0</v>
      </c>
      <c r="J16" s="84">
        <v>4033141.99</v>
      </c>
      <c r="K16" s="90"/>
      <c r="L16" s="107">
        <f t="shared" si="5"/>
        <v>0</v>
      </c>
      <c r="M16" s="65">
        <v>4491697.34</v>
      </c>
      <c r="N16" s="90"/>
      <c r="O16" s="107">
        <f t="shared" si="6"/>
        <v>0</v>
      </c>
      <c r="P16" s="65">
        <v>4905178.24</v>
      </c>
      <c r="Q16" s="90"/>
      <c r="R16" s="107">
        <f t="shared" si="1"/>
        <v>0</v>
      </c>
      <c r="S16" s="65">
        <v>5433566.2300000004</v>
      </c>
      <c r="T16" s="90"/>
      <c r="U16" s="109">
        <f t="shared" si="2"/>
        <v>0</v>
      </c>
      <c r="V16" s="70">
        <v>6029295.4500000002</v>
      </c>
    </row>
    <row r="17" spans="1:22" s="91" customFormat="1" x14ac:dyDescent="0.2">
      <c r="A17" s="86" t="s">
        <v>13</v>
      </c>
      <c r="B17" s="87" t="s">
        <v>14</v>
      </c>
      <c r="C17" s="88" t="s">
        <v>1</v>
      </c>
      <c r="D17" s="81" t="s">
        <v>2</v>
      </c>
      <c r="E17" s="93">
        <f>34684828.94/1000</f>
        <v>34684.828939999999</v>
      </c>
      <c r="F17" s="93">
        <v>36443.697999999997</v>
      </c>
      <c r="G17" s="90">
        <f>SUM(H17:T17)</f>
        <v>19122496.506187137</v>
      </c>
      <c r="H17" s="90">
        <v>43092.706789680007</v>
      </c>
      <c r="I17" s="83">
        <f t="shared" si="4"/>
        <v>1.0684649064309291</v>
      </c>
      <c r="J17" s="84">
        <v>4033141.99</v>
      </c>
      <c r="K17" s="90">
        <v>47053.871375675786</v>
      </c>
      <c r="L17" s="107">
        <f t="shared" si="5"/>
        <v>1.0475743981377825</v>
      </c>
      <c r="M17" s="65">
        <v>4491697.34</v>
      </c>
      <c r="N17" s="90">
        <v>51381.064061201112</v>
      </c>
      <c r="O17" s="107">
        <f t="shared" si="6"/>
        <v>1.0474861778152451</v>
      </c>
      <c r="P17" s="65">
        <v>4905178.24</v>
      </c>
      <c r="Q17" s="90">
        <v>56108.261386295657</v>
      </c>
      <c r="R17" s="107">
        <f t="shared" si="1"/>
        <v>1.0326231246894297</v>
      </c>
      <c r="S17" s="65">
        <v>5433566.2300000004</v>
      </c>
      <c r="T17" s="90">
        <v>61272.60642567477</v>
      </c>
      <c r="U17" s="109">
        <f t="shared" si="2"/>
        <v>1.0162481990441314</v>
      </c>
      <c r="V17" s="70">
        <v>6029295.4500000002</v>
      </c>
    </row>
    <row r="18" spans="1:22" s="91" customFormat="1" ht="47.25" x14ac:dyDescent="0.2">
      <c r="A18" s="86" t="s">
        <v>15</v>
      </c>
      <c r="B18" s="90" t="s">
        <v>16</v>
      </c>
      <c r="C18" s="88" t="s">
        <v>1</v>
      </c>
      <c r="D18" s="81" t="s">
        <v>2</v>
      </c>
      <c r="E18" s="89">
        <f>325122.535+3374.864</f>
        <v>328497.39899999998</v>
      </c>
      <c r="F18" s="89">
        <f>362988.131+3962.044</f>
        <v>366950.17499999999</v>
      </c>
      <c r="G18" s="90">
        <f>SUM(H18:T18)</f>
        <v>22247706.736304898</v>
      </c>
      <c r="H18" s="90">
        <v>556968.40981176007</v>
      </c>
      <c r="I18" s="83">
        <f t="shared" si="4"/>
        <v>13.809789270815134</v>
      </c>
      <c r="J18" s="84">
        <v>4033141.99</v>
      </c>
      <c r="K18" s="90">
        <v>605463.13012940204</v>
      </c>
      <c r="L18" s="107">
        <f t="shared" si="5"/>
        <v>13.479606578510076</v>
      </c>
      <c r="M18" s="65">
        <v>4491697.34</v>
      </c>
      <c r="N18" s="90">
        <v>669754.76011827122</v>
      </c>
      <c r="O18" s="107">
        <f t="shared" si="6"/>
        <v>13.654035130806403</v>
      </c>
      <c r="P18" s="65">
        <v>4905178.24</v>
      </c>
      <c r="Q18" s="90">
        <v>735805.82018341683</v>
      </c>
      <c r="R18" s="107">
        <f t="shared" si="1"/>
        <v>13.541857944435451</v>
      </c>
      <c r="S18" s="65">
        <v>5433566.2300000004</v>
      </c>
      <c r="T18" s="90">
        <v>816076.33077312307</v>
      </c>
      <c r="U18" s="109">
        <f t="shared" si="2"/>
        <v>13.535185620620449</v>
      </c>
      <c r="V18" s="70">
        <v>6029295.4500000002</v>
      </c>
    </row>
    <row r="19" spans="1:22" s="97" customFormat="1" x14ac:dyDescent="0.2">
      <c r="A19" s="94" t="s">
        <v>17</v>
      </c>
      <c r="B19" s="95" t="s">
        <v>18</v>
      </c>
      <c r="C19" s="80" t="s">
        <v>1</v>
      </c>
      <c r="D19" s="81" t="s">
        <v>2</v>
      </c>
      <c r="E19" s="96">
        <f>E20+E21+E22</f>
        <v>839845.41600000008</v>
      </c>
      <c r="F19" s="96">
        <f>F20+F21+F22</f>
        <v>864144.10400000005</v>
      </c>
      <c r="G19" s="96">
        <f>G20+G21+G22</f>
        <v>68300595.860609353</v>
      </c>
      <c r="H19" s="96">
        <f>H20+H21+H22</f>
        <v>1939127.5020875337</v>
      </c>
      <c r="I19" s="83">
        <f t="shared" si="4"/>
        <v>48.079822304682452</v>
      </c>
      <c r="J19" s="84">
        <v>4033141.99</v>
      </c>
      <c r="K19" s="96">
        <f>K20+K21+K22</f>
        <v>2116943.7761680377</v>
      </c>
      <c r="L19" s="107">
        <f t="shared" si="5"/>
        <v>47.13015183182484</v>
      </c>
      <c r="M19" s="65">
        <v>4491697.34</v>
      </c>
      <c r="N19" s="96">
        <f>N20+N21+N22</f>
        <v>2327221.0353844529</v>
      </c>
      <c r="O19" s="107">
        <f t="shared" si="6"/>
        <v>47.444168621779845</v>
      </c>
      <c r="P19" s="65">
        <v>4905178.24</v>
      </c>
      <c r="Q19" s="96">
        <f>Q20+Q21+Q22</f>
        <v>2546457.3049798761</v>
      </c>
      <c r="R19" s="107">
        <f t="shared" si="1"/>
        <v>46.865303507672081</v>
      </c>
      <c r="S19" s="65">
        <v>5433566.2300000004</v>
      </c>
      <c r="T19" s="96">
        <f>T20+T21+T22</f>
        <v>2779905.3225431838</v>
      </c>
      <c r="U19" s="109">
        <f t="shared" si="2"/>
        <v>46.10663626615252</v>
      </c>
      <c r="V19" s="70">
        <v>6029295.4500000002</v>
      </c>
    </row>
    <row r="20" spans="1:22" s="98" customFormat="1" ht="31.5" x14ac:dyDescent="0.2">
      <c r="A20" s="86" t="s">
        <v>19</v>
      </c>
      <c r="B20" s="87" t="s">
        <v>20</v>
      </c>
      <c r="C20" s="88" t="s">
        <v>1</v>
      </c>
      <c r="D20" s="81" t="s">
        <v>2</v>
      </c>
      <c r="E20" s="90">
        <v>763136.12600000005</v>
      </c>
      <c r="F20" s="90">
        <v>785225.40800000005</v>
      </c>
      <c r="G20" s="90">
        <f t="shared" ref="G20:G61" si="7">SUM(H20:T20)</f>
        <v>29518406.011407208</v>
      </c>
      <c r="H20" s="90">
        <v>1764417.6020064</v>
      </c>
      <c r="I20" s="83">
        <f t="shared" si="4"/>
        <v>43.747966384054827</v>
      </c>
      <c r="J20" s="84">
        <v>4033141.99</v>
      </c>
      <c r="K20" s="90">
        <v>1926213.1833595203</v>
      </c>
      <c r="L20" s="107">
        <f t="shared" si="5"/>
        <v>42.883859653810077</v>
      </c>
      <c r="M20" s="65">
        <v>4491697.34</v>
      </c>
      <c r="N20" s="90">
        <v>2117545.3629112784</v>
      </c>
      <c r="O20" s="107">
        <f t="shared" si="6"/>
        <v>43.169590569481088</v>
      </c>
      <c r="P20" s="65">
        <v>4905178.24</v>
      </c>
      <c r="Q20" s="90">
        <v>2317029.2466750424</v>
      </c>
      <c r="R20" s="107">
        <f t="shared" si="1"/>
        <v>42.642882199211591</v>
      </c>
      <c r="S20" s="65">
        <v>5433566.2300000004</v>
      </c>
      <c r="T20" s="90">
        <v>2529444.372156159</v>
      </c>
      <c r="U20" s="109">
        <f t="shared" si="2"/>
        <v>41.952569634917438</v>
      </c>
      <c r="V20" s="70">
        <v>6029295.4500000002</v>
      </c>
    </row>
    <row r="21" spans="1:22" s="98" customFormat="1" x14ac:dyDescent="0.2">
      <c r="A21" s="86" t="s">
        <v>21</v>
      </c>
      <c r="B21" s="87" t="s">
        <v>22</v>
      </c>
      <c r="C21" s="88" t="s">
        <v>1</v>
      </c>
      <c r="D21" s="81" t="s">
        <v>2</v>
      </c>
      <c r="E21" s="89">
        <v>76474.748000000007</v>
      </c>
      <c r="F21" s="89">
        <v>78686.679000000004</v>
      </c>
      <c r="G21" s="90">
        <f t="shared" si="7"/>
        <v>19918411.198929314</v>
      </c>
      <c r="H21" s="90">
        <v>174677.34259863361</v>
      </c>
      <c r="I21" s="83">
        <f t="shared" si="4"/>
        <v>4.3310486720214278</v>
      </c>
      <c r="J21" s="84">
        <v>4033141.99</v>
      </c>
      <c r="K21" s="90">
        <v>190695.1051525925</v>
      </c>
      <c r="L21" s="107">
        <f t="shared" si="5"/>
        <v>4.2455021057271978</v>
      </c>
      <c r="M21" s="65">
        <v>4491697.34</v>
      </c>
      <c r="N21" s="90">
        <v>209636.99092821658</v>
      </c>
      <c r="O21" s="107">
        <f t="shared" si="6"/>
        <v>4.2737894663786271</v>
      </c>
      <c r="P21" s="65">
        <v>4905178.24</v>
      </c>
      <c r="Q21" s="90">
        <v>229385.89542082921</v>
      </c>
      <c r="R21" s="107">
        <f t="shared" si="1"/>
        <v>4.2216453377219478</v>
      </c>
      <c r="S21" s="65">
        <v>5433566.2300000004</v>
      </c>
      <c r="T21" s="90">
        <v>250414.99284345974</v>
      </c>
      <c r="U21" s="109">
        <f t="shared" si="2"/>
        <v>4.1533043938568266</v>
      </c>
      <c r="V21" s="70">
        <v>6029295.4500000002</v>
      </c>
    </row>
    <row r="22" spans="1:22" s="98" customFormat="1" ht="31.5" x14ac:dyDescent="0.2">
      <c r="A22" s="86" t="s">
        <v>23</v>
      </c>
      <c r="B22" s="87" t="s">
        <v>24</v>
      </c>
      <c r="C22" s="88" t="s">
        <v>1</v>
      </c>
      <c r="D22" s="81" t="s">
        <v>2</v>
      </c>
      <c r="E22" s="90">
        <v>234.542</v>
      </c>
      <c r="F22" s="90">
        <v>232.017</v>
      </c>
      <c r="G22" s="90">
        <f t="shared" si="7"/>
        <v>18863778.650272828</v>
      </c>
      <c r="H22" s="90">
        <v>32.557482500000006</v>
      </c>
      <c r="I22" s="83">
        <f t="shared" si="4"/>
        <v>8.0724860619152178E-4</v>
      </c>
      <c r="J22" s="84">
        <v>4033141.99</v>
      </c>
      <c r="K22" s="90">
        <v>35.487655925000006</v>
      </c>
      <c r="L22" s="107">
        <f t="shared" si="5"/>
        <v>7.9007228757314288E-4</v>
      </c>
      <c r="M22" s="65">
        <v>4491697.34</v>
      </c>
      <c r="N22" s="90">
        <v>38.681544958250008</v>
      </c>
      <c r="O22" s="107">
        <f t="shared" si="6"/>
        <v>7.8858592013671667E-4</v>
      </c>
      <c r="P22" s="65">
        <v>4905178.24</v>
      </c>
      <c r="Q22" s="90">
        <v>42.162884004492511</v>
      </c>
      <c r="R22" s="107">
        <f t="shared" si="1"/>
        <v>7.7597073854922911E-4</v>
      </c>
      <c r="S22" s="65">
        <v>5433566.2300000004</v>
      </c>
      <c r="T22" s="90">
        <v>45.957543564896838</v>
      </c>
      <c r="U22" s="109">
        <f t="shared" si="2"/>
        <v>7.6223737824784876E-4</v>
      </c>
      <c r="V22" s="70">
        <v>6029295.4500000002</v>
      </c>
    </row>
    <row r="23" spans="1:22" s="85" customFormat="1" ht="16.149999999999999" customHeight="1" x14ac:dyDescent="0.2">
      <c r="A23" s="78" t="s">
        <v>25</v>
      </c>
      <c r="B23" s="99" t="s">
        <v>26</v>
      </c>
      <c r="C23" s="80" t="s">
        <v>1</v>
      </c>
      <c r="D23" s="81" t="s">
        <v>2</v>
      </c>
      <c r="E23" s="84">
        <f>E24+E25</f>
        <v>320052.28400000004</v>
      </c>
      <c r="F23" s="84">
        <f>F24+F25</f>
        <v>324650.34599999996</v>
      </c>
      <c r="G23" s="96">
        <f t="shared" si="7"/>
        <v>21820521.154755082</v>
      </c>
      <c r="H23" s="96">
        <v>356049.94847137632</v>
      </c>
      <c r="I23" s="83">
        <f t="shared" si="4"/>
        <v>8.8281034824508211</v>
      </c>
      <c r="J23" s="84">
        <v>4033141.99</v>
      </c>
      <c r="K23" s="96">
        <v>447168.38760164223</v>
      </c>
      <c r="L23" s="107">
        <f t="shared" si="5"/>
        <v>9.9554434271308718</v>
      </c>
      <c r="M23" s="65">
        <v>4491697.34</v>
      </c>
      <c r="N23" s="96">
        <v>568689.86953182251</v>
      </c>
      <c r="O23" s="107">
        <f t="shared" si="6"/>
        <v>11.593663710206432</v>
      </c>
      <c r="P23" s="65">
        <v>4905178.24</v>
      </c>
      <c r="Q23" s="96">
        <v>711511.19043510093</v>
      </c>
      <c r="R23" s="107">
        <f t="shared" si="1"/>
        <v>13.094736685212006</v>
      </c>
      <c r="S23" s="65">
        <v>5433566.2300000004</v>
      </c>
      <c r="T23" s="96">
        <v>873474.48676783137</v>
      </c>
      <c r="U23" s="109">
        <f t="shared" si="2"/>
        <v>14.487173402123316</v>
      </c>
      <c r="V23" s="70">
        <v>6029295.4500000002</v>
      </c>
    </row>
    <row r="24" spans="1:22" s="91" customFormat="1" outlineLevel="1" x14ac:dyDescent="0.2">
      <c r="A24" s="86"/>
      <c r="B24" s="87" t="s">
        <v>27</v>
      </c>
      <c r="C24" s="88" t="s">
        <v>1</v>
      </c>
      <c r="D24" s="81" t="s">
        <v>2</v>
      </c>
      <c r="E24" s="89">
        <v>944.66099999999994</v>
      </c>
      <c r="F24" s="89">
        <v>946.024</v>
      </c>
      <c r="G24" s="90">
        <f t="shared" si="7"/>
        <v>18863583.800000001</v>
      </c>
      <c r="H24" s="90"/>
      <c r="I24" s="83">
        <f t="shared" si="4"/>
        <v>0</v>
      </c>
      <c r="J24" s="84">
        <v>4033141.99</v>
      </c>
      <c r="K24" s="90"/>
      <c r="L24" s="107">
        <f t="shared" si="5"/>
        <v>0</v>
      </c>
      <c r="M24" s="65">
        <v>4491697.34</v>
      </c>
      <c r="N24" s="90"/>
      <c r="O24" s="107">
        <f t="shared" si="6"/>
        <v>0</v>
      </c>
      <c r="P24" s="65">
        <v>4905178.24</v>
      </c>
      <c r="Q24" s="90"/>
      <c r="R24" s="107">
        <f t="shared" si="1"/>
        <v>0</v>
      </c>
      <c r="S24" s="65">
        <v>5433566.2300000004</v>
      </c>
      <c r="T24" s="90"/>
      <c r="U24" s="109">
        <f t="shared" si="2"/>
        <v>0</v>
      </c>
      <c r="V24" s="70">
        <v>6029295.4500000002</v>
      </c>
    </row>
    <row r="25" spans="1:22" s="91" customFormat="1" outlineLevel="1" x14ac:dyDescent="0.2">
      <c r="A25" s="86"/>
      <c r="B25" s="90" t="s">
        <v>28</v>
      </c>
      <c r="C25" s="88" t="s">
        <v>1</v>
      </c>
      <c r="D25" s="81" t="s">
        <v>2</v>
      </c>
      <c r="E25" s="89">
        <v>319107.62300000002</v>
      </c>
      <c r="F25" s="89">
        <v>323704.32199999999</v>
      </c>
      <c r="G25" s="90">
        <f t="shared" si="7"/>
        <v>18863583.800000001</v>
      </c>
      <c r="H25" s="90"/>
      <c r="I25" s="83">
        <f t="shared" si="4"/>
        <v>0</v>
      </c>
      <c r="J25" s="84">
        <v>4033141.99</v>
      </c>
      <c r="K25" s="90"/>
      <c r="L25" s="107">
        <f t="shared" si="5"/>
        <v>0</v>
      </c>
      <c r="M25" s="65">
        <v>4491697.34</v>
      </c>
      <c r="N25" s="90"/>
      <c r="O25" s="107">
        <f t="shared" si="6"/>
        <v>0</v>
      </c>
      <c r="P25" s="65">
        <v>4905178.24</v>
      </c>
      <c r="Q25" s="90"/>
      <c r="R25" s="107">
        <f t="shared" si="1"/>
        <v>0</v>
      </c>
      <c r="S25" s="65">
        <v>5433566.2300000004</v>
      </c>
      <c r="T25" s="90"/>
      <c r="U25" s="109">
        <f t="shared" si="2"/>
        <v>0</v>
      </c>
      <c r="V25" s="70">
        <v>6029295.4500000002</v>
      </c>
    </row>
    <row r="26" spans="1:22" s="85" customFormat="1" x14ac:dyDescent="0.2">
      <c r="A26" s="78" t="s">
        <v>29</v>
      </c>
      <c r="B26" s="96" t="s">
        <v>30</v>
      </c>
      <c r="C26" s="88" t="s">
        <v>1</v>
      </c>
      <c r="D26" s="81" t="s">
        <v>2</v>
      </c>
      <c r="E26" s="82">
        <f>E27</f>
        <v>97961.56</v>
      </c>
      <c r="F26" s="82">
        <f>F27</f>
        <v>93616.365999999995</v>
      </c>
      <c r="G26" s="82">
        <f>G27</f>
        <v>20530800.15235427</v>
      </c>
      <c r="H26" s="82">
        <f>H27</f>
        <v>272764.4323708351</v>
      </c>
      <c r="I26" s="83">
        <f t="shared" si="4"/>
        <v>6.763075365239871</v>
      </c>
      <c r="J26" s="84">
        <v>4033141.99</v>
      </c>
      <c r="K26" s="82">
        <f>K27</f>
        <v>335013.72199742129</v>
      </c>
      <c r="L26" s="107">
        <f t="shared" si="5"/>
        <v>7.4585105949596624</v>
      </c>
      <c r="M26" s="65">
        <v>4491697.34</v>
      </c>
      <c r="N26" s="82">
        <f>N27</f>
        <v>318175.86927500006</v>
      </c>
      <c r="O26" s="107">
        <f t="shared" si="6"/>
        <v>6.486530228002481</v>
      </c>
      <c r="P26" s="65">
        <v>4905178.24</v>
      </c>
      <c r="Q26" s="82">
        <f>Q27</f>
        <v>357754.38045310002</v>
      </c>
      <c r="R26" s="107">
        <f t="shared" si="1"/>
        <v>6.5841542241236279</v>
      </c>
      <c r="S26" s="65">
        <v>5433566.2300000004</v>
      </c>
      <c r="T26" s="82">
        <f>T27</f>
        <v>383480.65598750004</v>
      </c>
      <c r="U26" s="109">
        <f t="shared" si="2"/>
        <v>6.3602896750979427</v>
      </c>
      <c r="V26" s="70">
        <v>6029295.4500000002</v>
      </c>
    </row>
    <row r="27" spans="1:22" ht="31.5" x14ac:dyDescent="0.2">
      <c r="A27" s="71" t="s">
        <v>31</v>
      </c>
      <c r="B27" s="72" t="s">
        <v>32</v>
      </c>
      <c r="C27" s="73" t="s">
        <v>1</v>
      </c>
      <c r="D27" s="74" t="s">
        <v>2</v>
      </c>
      <c r="E27" s="77">
        <v>97961.56</v>
      </c>
      <c r="F27" s="77">
        <f>93447.095+169.271</f>
        <v>93616.365999999995</v>
      </c>
      <c r="G27" s="75">
        <f t="shared" si="7"/>
        <v>20530800.15235427</v>
      </c>
      <c r="H27" s="75">
        <v>272764.4323708351</v>
      </c>
      <c r="I27" s="76">
        <f t="shared" si="4"/>
        <v>6.763075365239871</v>
      </c>
      <c r="J27" s="11">
        <v>4033141.99</v>
      </c>
      <c r="K27" s="16">
        <v>335013.72199742129</v>
      </c>
      <c r="L27" s="107">
        <f t="shared" si="5"/>
        <v>7.4585105949596624</v>
      </c>
      <c r="M27" s="65">
        <v>4491697.34</v>
      </c>
      <c r="N27" s="16">
        <v>318175.86927500006</v>
      </c>
      <c r="O27" s="107">
        <f t="shared" si="6"/>
        <v>6.486530228002481</v>
      </c>
      <c r="P27" s="65">
        <v>4905178.24</v>
      </c>
      <c r="Q27" s="16">
        <v>357754.38045310002</v>
      </c>
      <c r="R27" s="107">
        <f t="shared" si="1"/>
        <v>6.5841542241236279</v>
      </c>
      <c r="S27" s="65">
        <v>5433566.2300000004</v>
      </c>
      <c r="T27" s="16">
        <v>383480.65598750004</v>
      </c>
      <c r="U27" s="109">
        <f t="shared" si="2"/>
        <v>6.3602896750979427</v>
      </c>
      <c r="V27" s="70">
        <v>6029295.4500000002</v>
      </c>
    </row>
    <row r="28" spans="1:22" s="2" customFormat="1" ht="31.5" x14ac:dyDescent="0.2">
      <c r="A28" s="7" t="s">
        <v>33</v>
      </c>
      <c r="B28" s="24" t="s">
        <v>34</v>
      </c>
      <c r="C28" s="14" t="s">
        <v>1</v>
      </c>
      <c r="D28" s="10" t="s">
        <v>2</v>
      </c>
      <c r="E28" s="12">
        <f t="shared" ref="E28:T28" si="8">E29+E30+E31+E32+E33+E34+E35+E36+E37+E38+E39</f>
        <v>37977.375</v>
      </c>
      <c r="F28" s="12">
        <f t="shared" si="8"/>
        <v>44774.425000000003</v>
      </c>
      <c r="G28" s="12">
        <f t="shared" si="8"/>
        <v>188914280.03515202</v>
      </c>
      <c r="H28" s="12">
        <f t="shared" si="8"/>
        <v>45294.922628904962</v>
      </c>
      <c r="I28" s="33">
        <f t="shared" si="4"/>
        <v>1.1230678895315798</v>
      </c>
      <c r="J28" s="11">
        <v>4033141.99</v>
      </c>
      <c r="K28" s="12">
        <f t="shared" si="8"/>
        <v>49024.005105428303</v>
      </c>
      <c r="L28" s="107">
        <f t="shared" si="5"/>
        <v>1.0914360740394031</v>
      </c>
      <c r="M28" s="65">
        <v>4491697.34</v>
      </c>
      <c r="N28" s="12">
        <f t="shared" si="8"/>
        <v>52419.236414395295</v>
      </c>
      <c r="O28" s="107">
        <f t="shared" si="6"/>
        <v>1.0686510020560493</v>
      </c>
      <c r="P28" s="65">
        <v>4905178.24</v>
      </c>
      <c r="Q28" s="12">
        <f t="shared" si="8"/>
        <v>56736.520122611684</v>
      </c>
      <c r="R28" s="107">
        <f t="shared" si="1"/>
        <v>1.0441856732941981</v>
      </c>
      <c r="S28" s="65">
        <v>5433566.2300000004</v>
      </c>
      <c r="T28" s="12">
        <f t="shared" si="8"/>
        <v>74963.104434403838</v>
      </c>
      <c r="U28" s="109">
        <f t="shared" si="2"/>
        <v>1.2433144976234967</v>
      </c>
      <c r="V28" s="70">
        <v>6029295.4500000002</v>
      </c>
    </row>
    <row r="29" spans="1:22" x14ac:dyDescent="0.2">
      <c r="A29" s="5" t="s">
        <v>35</v>
      </c>
      <c r="B29" s="13" t="s">
        <v>36</v>
      </c>
      <c r="C29" s="14" t="s">
        <v>1</v>
      </c>
      <c r="D29" s="10" t="s">
        <v>2</v>
      </c>
      <c r="E29" s="15">
        <v>8040.4539999999997</v>
      </c>
      <c r="F29" s="15">
        <v>8066.96</v>
      </c>
      <c r="G29" s="16">
        <f t="shared" si="7"/>
        <v>18915608.420914486</v>
      </c>
      <c r="H29" s="16">
        <v>9046.4490000000005</v>
      </c>
      <c r="I29" s="33">
        <f t="shared" si="4"/>
        <v>0.22430276500133833</v>
      </c>
      <c r="J29" s="11">
        <v>4033141.99</v>
      </c>
      <c r="K29" s="16">
        <v>9679.7000000000007</v>
      </c>
      <c r="L29" s="107">
        <f t="shared" si="5"/>
        <v>0.21550205339525394</v>
      </c>
      <c r="M29" s="65">
        <v>4491697.34</v>
      </c>
      <c r="N29" s="16">
        <v>10357.279</v>
      </c>
      <c r="O29" s="107">
        <f t="shared" si="6"/>
        <v>0.21114990104824405</v>
      </c>
      <c r="P29" s="65">
        <v>4905178.24</v>
      </c>
      <c r="Q29" s="16">
        <v>11082.289000000001</v>
      </c>
      <c r="R29" s="107">
        <f t="shared" si="1"/>
        <v>0.20395976658593154</v>
      </c>
      <c r="S29" s="65">
        <v>5433566.2300000004</v>
      </c>
      <c r="T29" s="16">
        <v>11858.048999999999</v>
      </c>
      <c r="U29" s="109">
        <f t="shared" si="2"/>
        <v>0.1966738750545057</v>
      </c>
      <c r="V29" s="70">
        <v>6029295.4500000002</v>
      </c>
    </row>
    <row r="30" spans="1:22" ht="31.5" x14ac:dyDescent="0.2">
      <c r="A30" s="5" t="s">
        <v>37</v>
      </c>
      <c r="B30" s="16" t="s">
        <v>38</v>
      </c>
      <c r="C30" s="14" t="s">
        <v>1</v>
      </c>
      <c r="D30" s="10" t="s">
        <v>2</v>
      </c>
      <c r="E30" s="15">
        <v>5246.6139999999996</v>
      </c>
      <c r="F30" s="15">
        <v>5848.2020000000002</v>
      </c>
      <c r="G30" s="16">
        <f t="shared" si="7"/>
        <v>18907429.520612709</v>
      </c>
      <c r="H30" s="16">
        <v>7627.4999999999991</v>
      </c>
      <c r="I30" s="33">
        <f t="shared" si="4"/>
        <v>0.18912054222023555</v>
      </c>
      <c r="J30" s="11">
        <v>4033141.99</v>
      </c>
      <c r="K30" s="16">
        <v>8160.0000000000009</v>
      </c>
      <c r="L30" s="107">
        <f t="shared" si="5"/>
        <v>0.1816685182087536</v>
      </c>
      <c r="M30" s="65">
        <v>4491697.34</v>
      </c>
      <c r="N30" s="16">
        <v>8730</v>
      </c>
      <c r="O30" s="107">
        <f t="shared" si="6"/>
        <v>0.17797518403734905</v>
      </c>
      <c r="P30" s="65">
        <v>4905178.24</v>
      </c>
      <c r="Q30" s="16">
        <v>9337.5</v>
      </c>
      <c r="R30" s="107">
        <f t="shared" si="1"/>
        <v>0.17184846203669074</v>
      </c>
      <c r="S30" s="65">
        <v>5433566.2300000004</v>
      </c>
      <c r="T30" s="16">
        <v>9990</v>
      </c>
      <c r="U30" s="109">
        <f t="shared" si="2"/>
        <v>0.16569100125952527</v>
      </c>
      <c r="V30" s="70">
        <v>6029295.4500000002</v>
      </c>
    </row>
    <row r="31" spans="1:22" x14ac:dyDescent="0.2">
      <c r="A31" s="5" t="s">
        <v>39</v>
      </c>
      <c r="B31" s="16" t="s">
        <v>175</v>
      </c>
      <c r="C31" s="14" t="s">
        <v>1</v>
      </c>
      <c r="D31" s="10" t="s">
        <v>2</v>
      </c>
      <c r="E31" s="16">
        <v>16537.786</v>
      </c>
      <c r="F31" s="16">
        <v>18467.853999999999</v>
      </c>
      <c r="G31" s="16">
        <f t="shared" si="7"/>
        <v>18985708.691118941</v>
      </c>
      <c r="H31" s="16">
        <v>21236.033150276387</v>
      </c>
      <c r="I31" s="33">
        <f t="shared" si="4"/>
        <v>0.52653819783509248</v>
      </c>
      <c r="J31" s="11">
        <v>4033141.99</v>
      </c>
      <c r="K31" s="16">
        <v>22722.555470795738</v>
      </c>
      <c r="L31" s="107">
        <f t="shared" si="5"/>
        <v>0.5058790419479986</v>
      </c>
      <c r="M31" s="65">
        <v>4491697.34</v>
      </c>
      <c r="N31" s="16">
        <v>24313.13435375144</v>
      </c>
      <c r="O31" s="107">
        <f t="shared" si="6"/>
        <v>0.4956626072318106</v>
      </c>
      <c r="P31" s="65">
        <v>4905178.24</v>
      </c>
      <c r="Q31" s="16">
        <v>26015.053758514045</v>
      </c>
      <c r="R31" s="107">
        <f t="shared" si="1"/>
        <v>0.47878414759865812</v>
      </c>
      <c r="S31" s="65">
        <v>5433566.2300000004</v>
      </c>
      <c r="T31" s="16">
        <v>27836.107521610025</v>
      </c>
      <c r="U31" s="109">
        <f t="shared" si="2"/>
        <v>0.46168093357591267</v>
      </c>
      <c r="V31" s="70">
        <v>6029295.4500000002</v>
      </c>
    </row>
    <row r="32" spans="1:22" x14ac:dyDescent="0.2">
      <c r="A32" s="5" t="s">
        <v>176</v>
      </c>
      <c r="B32" s="16" t="s">
        <v>177</v>
      </c>
      <c r="C32" s="14" t="s">
        <v>1</v>
      </c>
      <c r="D32" s="10" t="s">
        <v>2</v>
      </c>
      <c r="E32" s="15">
        <v>361.452</v>
      </c>
      <c r="F32" s="15">
        <v>355.185</v>
      </c>
      <c r="G32" s="16">
        <f t="shared" si="7"/>
        <v>18865653.782314945</v>
      </c>
      <c r="H32" s="16">
        <v>359.94474720000005</v>
      </c>
      <c r="I32" s="33">
        <f t="shared" si="4"/>
        <v>8.9246733215063434E-3</v>
      </c>
      <c r="J32" s="11">
        <v>4033141.99</v>
      </c>
      <c r="K32" s="16">
        <f>H32*1.07</f>
        <v>385.14087950400005</v>
      </c>
      <c r="L32" s="107">
        <f t="shared" si="5"/>
        <v>8.5745064805279169E-3</v>
      </c>
      <c r="M32" s="65">
        <v>4491697.34</v>
      </c>
      <c r="N32" s="16">
        <f>K32*1.07</f>
        <v>412.1007410692801</v>
      </c>
      <c r="O32" s="107">
        <f t="shared" si="6"/>
        <v>8.4013408056967994E-3</v>
      </c>
      <c r="P32" s="65">
        <v>4905178.24</v>
      </c>
      <c r="Q32" s="16">
        <f>N32*1.07</f>
        <v>440.94779294412973</v>
      </c>
      <c r="R32" s="107">
        <f t="shared" si="1"/>
        <v>8.1152556954133172E-3</v>
      </c>
      <c r="S32" s="65">
        <v>5433566.2300000004</v>
      </c>
      <c r="T32" s="16">
        <f>Q32*1.07</f>
        <v>471.81413845021882</v>
      </c>
      <c r="U32" s="109">
        <f t="shared" si="2"/>
        <v>7.825361061883588E-3</v>
      </c>
      <c r="V32" s="70">
        <v>6029295.4500000002</v>
      </c>
    </row>
    <row r="33" spans="1:22" x14ac:dyDescent="0.2">
      <c r="A33" s="5" t="s">
        <v>178</v>
      </c>
      <c r="B33" s="16" t="s">
        <v>179</v>
      </c>
      <c r="C33" s="14" t="s">
        <v>1</v>
      </c>
      <c r="D33" s="10" t="s">
        <v>2</v>
      </c>
      <c r="E33" s="16">
        <v>54</v>
      </c>
      <c r="F33" s="16">
        <v>54</v>
      </c>
      <c r="G33" s="16">
        <f t="shared" si="7"/>
        <v>18863965.925634425</v>
      </c>
      <c r="H33" s="16">
        <v>66.447000000000003</v>
      </c>
      <c r="I33" s="33">
        <f t="shared" si="4"/>
        <v>1.6475244403681409E-3</v>
      </c>
      <c r="J33" s="11">
        <v>4033141.99</v>
      </c>
      <c r="K33" s="16">
        <v>71.098290000000006</v>
      </c>
      <c r="L33" s="107">
        <f t="shared" si="5"/>
        <v>1.5828824744456183E-3</v>
      </c>
      <c r="M33" s="65">
        <v>4491697.34</v>
      </c>
      <c r="N33" s="16">
        <v>76.075170300000011</v>
      </c>
      <c r="O33" s="107">
        <f t="shared" si="6"/>
        <v>1.5509155137245329E-3</v>
      </c>
      <c r="P33" s="65">
        <v>4905178.24</v>
      </c>
      <c r="Q33" s="16">
        <v>81.400432221000031</v>
      </c>
      <c r="R33" s="107">
        <f t="shared" si="1"/>
        <v>1.4981032488675494E-3</v>
      </c>
      <c r="S33" s="65">
        <v>5433566.2300000004</v>
      </c>
      <c r="T33" s="16">
        <v>87.098462476470033</v>
      </c>
      <c r="U33" s="109">
        <f t="shared" si="2"/>
        <v>1.4445877333224735E-3</v>
      </c>
      <c r="V33" s="70">
        <v>6029295.4500000002</v>
      </c>
    </row>
    <row r="34" spans="1:22" ht="31.5" x14ac:dyDescent="0.2">
      <c r="A34" s="5" t="s">
        <v>180</v>
      </c>
      <c r="B34" s="16" t="s">
        <v>181</v>
      </c>
      <c r="C34" s="14" t="s">
        <v>1</v>
      </c>
      <c r="D34" s="10" t="s">
        <v>2</v>
      </c>
      <c r="E34" s="16">
        <v>172.40899999999999</v>
      </c>
      <c r="F34" s="16">
        <v>172.40899999999999</v>
      </c>
      <c r="G34" s="16">
        <f t="shared" si="7"/>
        <v>18864298.032983594</v>
      </c>
      <c r="H34" s="16">
        <v>124.19642857142856</v>
      </c>
      <c r="I34" s="33">
        <f t="shared" si="4"/>
        <v>3.0793963832507804E-3</v>
      </c>
      <c r="J34" s="11">
        <v>4033141.99</v>
      </c>
      <c r="K34" s="16">
        <v>132.89017857142855</v>
      </c>
      <c r="L34" s="107">
        <f t="shared" si="5"/>
        <v>2.9585737531333434E-3</v>
      </c>
      <c r="M34" s="65">
        <v>4491697.34</v>
      </c>
      <c r="N34" s="16">
        <v>142.19249107142855</v>
      </c>
      <c r="O34" s="107">
        <f t="shared" si="6"/>
        <v>2.8988241428598636E-3</v>
      </c>
      <c r="P34" s="65">
        <v>4905178.24</v>
      </c>
      <c r="Q34" s="16">
        <v>152.14596544642856</v>
      </c>
      <c r="R34" s="107">
        <f t="shared" si="1"/>
        <v>2.8001124676900928E-3</v>
      </c>
      <c r="S34" s="65">
        <v>5433566.2300000004</v>
      </c>
      <c r="T34" s="16">
        <v>162.79618302767858</v>
      </c>
      <c r="U34" s="109">
        <f t="shared" si="2"/>
        <v>2.7000863430515516E-3</v>
      </c>
      <c r="V34" s="70">
        <v>6029295.4500000002</v>
      </c>
    </row>
    <row r="35" spans="1:22" x14ac:dyDescent="0.2">
      <c r="A35" s="5" t="s">
        <v>182</v>
      </c>
      <c r="B35" s="16" t="s">
        <v>183</v>
      </c>
      <c r="C35" s="14" t="s">
        <v>1</v>
      </c>
      <c r="D35" s="10" t="s">
        <v>2</v>
      </c>
      <c r="E35" s="16">
        <v>174.107</v>
      </c>
      <c r="F35" s="16">
        <v>174.107</v>
      </c>
      <c r="G35" s="16">
        <f t="shared" si="7"/>
        <v>18864655.149475392</v>
      </c>
      <c r="H35" s="16">
        <v>186.29464285714283</v>
      </c>
      <c r="I35" s="33">
        <f t="shared" si="4"/>
        <v>4.6190945748761708E-3</v>
      </c>
      <c r="J35" s="11">
        <v>4033141.99</v>
      </c>
      <c r="K35" s="16">
        <v>199.33526785714284</v>
      </c>
      <c r="L35" s="107">
        <f t="shared" si="5"/>
        <v>4.4378606297000153E-3</v>
      </c>
      <c r="M35" s="65">
        <v>4491697.34</v>
      </c>
      <c r="N35" s="16">
        <v>213.28873660714285</v>
      </c>
      <c r="O35" s="107">
        <f t="shared" si="6"/>
        <v>4.3482362142897961E-3</v>
      </c>
      <c r="P35" s="65">
        <v>4905178.24</v>
      </c>
      <c r="Q35" s="16">
        <v>228.21894816964286</v>
      </c>
      <c r="R35" s="107">
        <f t="shared" si="1"/>
        <v>4.2001687015351397E-3</v>
      </c>
      <c r="S35" s="65">
        <v>5433566.2300000004</v>
      </c>
      <c r="T35" s="16">
        <v>244.19427454151787</v>
      </c>
      <c r="U35" s="109">
        <f t="shared" si="2"/>
        <v>4.0501295145773273E-3</v>
      </c>
      <c r="V35" s="70">
        <v>6029295.4500000002</v>
      </c>
    </row>
    <row r="36" spans="1:22" ht="31.5" x14ac:dyDescent="0.2">
      <c r="A36" s="5" t="s">
        <v>184</v>
      </c>
      <c r="B36" s="16" t="s">
        <v>185</v>
      </c>
      <c r="C36" s="14" t="s">
        <v>1</v>
      </c>
      <c r="D36" s="10" t="s">
        <v>2</v>
      </c>
      <c r="E36" s="15">
        <v>511.22399999999999</v>
      </c>
      <c r="F36" s="15">
        <v>608.41800000000001</v>
      </c>
      <c r="G36" s="16">
        <f t="shared" si="7"/>
        <v>18869121.8526728</v>
      </c>
      <c r="H36" s="16">
        <v>963</v>
      </c>
      <c r="I36" s="33">
        <f t="shared" si="4"/>
        <v>2.3877165802436824E-2</v>
      </c>
      <c r="J36" s="11">
        <v>4033141.99</v>
      </c>
      <c r="K36" s="16">
        <v>1030.4100000000001</v>
      </c>
      <c r="L36" s="107">
        <f t="shared" si="5"/>
        <v>2.2940325716603163E-2</v>
      </c>
      <c r="M36" s="65">
        <v>4491697.34</v>
      </c>
      <c r="N36" s="16">
        <v>1102.5387000000003</v>
      </c>
      <c r="O36" s="107">
        <f t="shared" si="6"/>
        <v>2.2477036430790336E-2</v>
      </c>
      <c r="P36" s="65">
        <v>4905178.24</v>
      </c>
      <c r="Q36" s="16">
        <v>1179.7164090000001</v>
      </c>
      <c r="R36" s="107">
        <f t="shared" si="1"/>
        <v>2.1711641287935492E-2</v>
      </c>
      <c r="S36" s="65">
        <v>5433566.2300000004</v>
      </c>
      <c r="T36" s="16">
        <v>1262.2965576300005</v>
      </c>
      <c r="U36" s="109">
        <f t="shared" si="2"/>
        <v>2.0936054106122808E-2</v>
      </c>
      <c r="V36" s="70">
        <v>6029295.4500000002</v>
      </c>
    </row>
    <row r="37" spans="1:22" x14ac:dyDescent="0.2">
      <c r="A37" s="5" t="s">
        <v>186</v>
      </c>
      <c r="B37" s="16" t="s">
        <v>187</v>
      </c>
      <c r="C37" s="14" t="s">
        <v>1</v>
      </c>
      <c r="D37" s="10" t="s">
        <v>2</v>
      </c>
      <c r="E37" s="15">
        <v>55</v>
      </c>
      <c r="F37" s="15">
        <f>742</f>
        <v>742</v>
      </c>
      <c r="G37" s="16">
        <f t="shared" si="7"/>
        <v>18874549.144292142</v>
      </c>
      <c r="H37" s="16">
        <v>1906.74</v>
      </c>
      <c r="I37" s="33">
        <f t="shared" si="4"/>
        <v>4.7276788288824909E-2</v>
      </c>
      <c r="J37" s="11">
        <v>4033141.99</v>
      </c>
      <c r="K37" s="16">
        <v>2040.2118</v>
      </c>
      <c r="L37" s="107">
        <f t="shared" si="5"/>
        <v>4.5421844918874257E-2</v>
      </c>
      <c r="M37" s="65">
        <v>4491697.34</v>
      </c>
      <c r="N37" s="16">
        <v>2183.0266260000003</v>
      </c>
      <c r="O37" s="107">
        <f t="shared" si="6"/>
        <v>4.4504532132964861E-2</v>
      </c>
      <c r="P37" s="65">
        <v>4905178.24</v>
      </c>
      <c r="Q37" s="16">
        <v>2335.8384898200006</v>
      </c>
      <c r="R37" s="107">
        <f t="shared" si="1"/>
        <v>4.2989049750112286E-2</v>
      </c>
      <c r="S37" s="65">
        <v>5433566.2300000004</v>
      </c>
      <c r="T37" s="16">
        <v>2499.3471841074006</v>
      </c>
      <c r="U37" s="109">
        <f t="shared" si="2"/>
        <v>4.145338713012315E-2</v>
      </c>
      <c r="V37" s="70">
        <v>6029295.4500000002</v>
      </c>
    </row>
    <row r="38" spans="1:22" ht="31.5" x14ac:dyDescent="0.2">
      <c r="A38" s="5" t="s">
        <v>188</v>
      </c>
      <c r="B38" s="16" t="s">
        <v>189</v>
      </c>
      <c r="C38" s="14" t="s">
        <v>1</v>
      </c>
      <c r="D38" s="10" t="s">
        <v>2</v>
      </c>
      <c r="E38" s="16">
        <f>2169.166+613.49</f>
        <v>2782.6559999999999</v>
      </c>
      <c r="F38" s="16">
        <f>1964.433+549.34</f>
        <v>2513.7730000000001</v>
      </c>
      <c r="G38" s="16">
        <f t="shared" si="7"/>
        <v>18883640.089367669</v>
      </c>
      <c r="H38" s="16">
        <v>2922.3176600000033</v>
      </c>
      <c r="I38" s="33">
        <f t="shared" si="4"/>
        <v>7.245759428370642E-2</v>
      </c>
      <c r="J38" s="11">
        <v>4033141.99</v>
      </c>
      <c r="K38" s="16">
        <v>3686.7432186999945</v>
      </c>
      <c r="L38" s="107">
        <f t="shared" si="5"/>
        <v>8.2079065877132193E-2</v>
      </c>
      <c r="M38" s="65">
        <v>4491697.34</v>
      </c>
      <c r="N38" s="16">
        <v>3909.5661955959995</v>
      </c>
      <c r="O38" s="107">
        <f t="shared" si="6"/>
        <v>7.9702836559839244E-2</v>
      </c>
      <c r="P38" s="65">
        <v>4905178.24</v>
      </c>
      <c r="Q38" s="16">
        <v>4834.7725184964338</v>
      </c>
      <c r="R38" s="107">
        <f t="shared" si="1"/>
        <v>8.897972922097673E-2</v>
      </c>
      <c r="S38" s="65">
        <v>5433566.2300000004</v>
      </c>
      <c r="T38" s="16">
        <v>4702.5665556505328</v>
      </c>
      <c r="U38" s="109">
        <f t="shared" si="2"/>
        <v>7.7995291400930311E-2</v>
      </c>
      <c r="V38" s="70">
        <v>6029295.4500000002</v>
      </c>
    </row>
    <row r="39" spans="1:22" x14ac:dyDescent="0.2">
      <c r="A39" s="5" t="s">
        <v>190</v>
      </c>
      <c r="B39" s="25" t="s">
        <v>191</v>
      </c>
      <c r="C39" s="14" t="s">
        <v>1</v>
      </c>
      <c r="D39" s="10" t="s">
        <v>2</v>
      </c>
      <c r="E39" s="15">
        <f>1041.673+3000</f>
        <v>4041.6729999999998</v>
      </c>
      <c r="F39" s="15">
        <f>1021.517+6750</f>
        <v>7771.5169999999998</v>
      </c>
      <c r="G39" s="16">
        <f>H39+K39+N39+Q39+T39</f>
        <v>19649.42576491</v>
      </c>
      <c r="H39" s="16">
        <v>856</v>
      </c>
      <c r="I39" s="33">
        <f t="shared" si="4"/>
        <v>2.1224147379943843E-2</v>
      </c>
      <c r="J39" s="11">
        <v>4033141.99</v>
      </c>
      <c r="K39" s="16">
        <v>915.92000000000007</v>
      </c>
      <c r="L39" s="107">
        <f t="shared" si="5"/>
        <v>2.039140063698059E-2</v>
      </c>
      <c r="M39" s="65">
        <v>4491697.34</v>
      </c>
      <c r="N39" s="16">
        <v>980.03440000000012</v>
      </c>
      <c r="O39" s="107">
        <f t="shared" si="6"/>
        <v>1.9979587938480297E-2</v>
      </c>
      <c r="P39" s="65">
        <v>4905178.24</v>
      </c>
      <c r="Q39" s="16">
        <v>1048.6368080000002</v>
      </c>
      <c r="R39" s="107">
        <f t="shared" si="1"/>
        <v>1.9299236700387107E-2</v>
      </c>
      <c r="S39" s="65">
        <v>5433566.2300000004</v>
      </c>
      <c r="T39" s="16">
        <v>15848.83455691</v>
      </c>
      <c r="U39" s="109">
        <f t="shared" si="2"/>
        <v>0.26286379044354174</v>
      </c>
      <c r="V39" s="70">
        <v>6029295.4500000002</v>
      </c>
    </row>
    <row r="40" spans="1:22" s="2" customFormat="1" x14ac:dyDescent="0.2">
      <c r="A40" s="7" t="s">
        <v>192</v>
      </c>
      <c r="B40" s="26" t="s">
        <v>193</v>
      </c>
      <c r="C40" s="14" t="s">
        <v>1</v>
      </c>
      <c r="D40" s="10" t="s">
        <v>2</v>
      </c>
      <c r="E40" s="12">
        <v>7010.6970000000001</v>
      </c>
      <c r="F40" s="12">
        <f>SUM(F42:F45)</f>
        <v>7346.018</v>
      </c>
      <c r="G40" s="12">
        <f t="shared" si="7"/>
        <v>18899505.692472544</v>
      </c>
      <c r="H40" s="12">
        <v>7184.2551428571423</v>
      </c>
      <c r="I40" s="33">
        <f t="shared" si="4"/>
        <v>0.1781304789335508</v>
      </c>
      <c r="J40" s="11">
        <v>4033141.99</v>
      </c>
      <c r="K40" s="12">
        <v>7184.2551428571423</v>
      </c>
      <c r="L40" s="107">
        <f t="shared" si="5"/>
        <v>0.15994521890152874</v>
      </c>
      <c r="M40" s="65">
        <v>4491697.34</v>
      </c>
      <c r="N40" s="12">
        <v>7184.2551428571423</v>
      </c>
      <c r="O40" s="107">
        <f t="shared" si="6"/>
        <v>0.14646267253393716</v>
      </c>
      <c r="P40" s="65">
        <v>4905178.24</v>
      </c>
      <c r="Q40" s="12">
        <v>7184.2551428571423</v>
      </c>
      <c r="R40" s="107">
        <f t="shared" si="1"/>
        <v>0.13221988724810557</v>
      </c>
      <c r="S40" s="65">
        <v>5433566.2300000004</v>
      </c>
      <c r="T40" s="12">
        <v>7184.2551428571423</v>
      </c>
      <c r="U40" s="109">
        <f t="shared" si="2"/>
        <v>0.11915579859098034</v>
      </c>
      <c r="V40" s="70">
        <v>6029295.4500000002</v>
      </c>
    </row>
    <row r="41" spans="1:22" outlineLevel="1" x14ac:dyDescent="0.2">
      <c r="A41" s="5"/>
      <c r="B41" s="16" t="s">
        <v>194</v>
      </c>
      <c r="C41" s="14" t="s">
        <v>1</v>
      </c>
      <c r="D41" s="10" t="s">
        <v>2</v>
      </c>
      <c r="E41" s="16"/>
      <c r="F41" s="21"/>
      <c r="G41" s="16">
        <f t="shared" si="7"/>
        <v>18863583.800000001</v>
      </c>
      <c r="H41" s="16"/>
      <c r="I41" s="33">
        <f t="shared" si="4"/>
        <v>0</v>
      </c>
      <c r="J41" s="11">
        <v>4033141.99</v>
      </c>
      <c r="K41" s="16"/>
      <c r="L41" s="107">
        <f t="shared" si="5"/>
        <v>0</v>
      </c>
      <c r="M41" s="65">
        <v>4491697.34</v>
      </c>
      <c r="N41" s="16"/>
      <c r="O41" s="107">
        <f t="shared" si="6"/>
        <v>0</v>
      </c>
      <c r="P41" s="65">
        <v>4905178.24</v>
      </c>
      <c r="Q41" s="16"/>
      <c r="R41" s="107">
        <f t="shared" si="1"/>
        <v>0</v>
      </c>
      <c r="S41" s="65">
        <v>5433566.2300000004</v>
      </c>
      <c r="T41" s="16"/>
      <c r="U41" s="109">
        <f t="shared" si="2"/>
        <v>0</v>
      </c>
      <c r="V41" s="70">
        <v>6029295.4500000002</v>
      </c>
    </row>
    <row r="42" spans="1:22" outlineLevel="1" x14ac:dyDescent="0.2">
      <c r="A42" s="5"/>
      <c r="B42" s="27" t="s">
        <v>195</v>
      </c>
      <c r="C42" s="28"/>
      <c r="D42" s="10" t="s">
        <v>2</v>
      </c>
      <c r="E42" s="29"/>
      <c r="F42" s="16">
        <v>4575</v>
      </c>
      <c r="G42" s="16">
        <f t="shared" si="7"/>
        <v>18863583.800000001</v>
      </c>
      <c r="H42" s="16"/>
      <c r="I42" s="33">
        <f t="shared" si="4"/>
        <v>0</v>
      </c>
      <c r="J42" s="11">
        <v>4033141.99</v>
      </c>
      <c r="K42" s="16"/>
      <c r="L42" s="107">
        <f t="shared" si="5"/>
        <v>0</v>
      </c>
      <c r="M42" s="65">
        <v>4491697.34</v>
      </c>
      <c r="N42" s="16"/>
      <c r="O42" s="107">
        <f t="shared" si="6"/>
        <v>0</v>
      </c>
      <c r="P42" s="65">
        <v>4905178.24</v>
      </c>
      <c r="Q42" s="16"/>
      <c r="R42" s="107">
        <f t="shared" si="1"/>
        <v>0</v>
      </c>
      <c r="S42" s="65">
        <v>5433566.2300000004</v>
      </c>
      <c r="T42" s="16"/>
      <c r="U42" s="109">
        <f t="shared" si="2"/>
        <v>0</v>
      </c>
      <c r="V42" s="70">
        <v>6029295.4500000002</v>
      </c>
    </row>
    <row r="43" spans="1:22" outlineLevel="1" x14ac:dyDescent="0.2">
      <c r="A43" s="5"/>
      <c r="B43" s="27" t="s">
        <v>196</v>
      </c>
      <c r="C43" s="28"/>
      <c r="D43" s="10" t="s">
        <v>2</v>
      </c>
      <c r="E43" s="29"/>
      <c r="F43" s="16">
        <v>308.983</v>
      </c>
      <c r="G43" s="16">
        <f t="shared" si="7"/>
        <v>18863583.800000001</v>
      </c>
      <c r="H43" s="16"/>
      <c r="I43" s="33">
        <f t="shared" si="4"/>
        <v>0</v>
      </c>
      <c r="J43" s="11">
        <v>4033141.99</v>
      </c>
      <c r="K43" s="16"/>
      <c r="L43" s="107">
        <f t="shared" si="5"/>
        <v>0</v>
      </c>
      <c r="M43" s="65">
        <v>4491697.34</v>
      </c>
      <c r="N43" s="16"/>
      <c r="O43" s="107">
        <f t="shared" si="6"/>
        <v>0</v>
      </c>
      <c r="P43" s="65">
        <v>4905178.24</v>
      </c>
      <c r="Q43" s="16"/>
      <c r="R43" s="107">
        <f t="shared" ref="R43:R74" si="9">Q43/S43*100</f>
        <v>0</v>
      </c>
      <c r="S43" s="65">
        <v>5433566.2300000004</v>
      </c>
      <c r="T43" s="16"/>
      <c r="U43" s="109">
        <f t="shared" ref="U43:U74" si="10">T43/V43*100</f>
        <v>0</v>
      </c>
      <c r="V43" s="70">
        <v>6029295.4500000002</v>
      </c>
    </row>
    <row r="44" spans="1:22" outlineLevel="1" x14ac:dyDescent="0.2">
      <c r="A44" s="5"/>
      <c r="B44" s="27" t="s">
        <v>197</v>
      </c>
      <c r="C44" s="28"/>
      <c r="D44" s="10" t="s">
        <v>2</v>
      </c>
      <c r="E44" s="29"/>
      <c r="F44" s="16">
        <v>9</v>
      </c>
      <c r="G44" s="16">
        <f t="shared" si="7"/>
        <v>18863583.800000001</v>
      </c>
      <c r="H44" s="16"/>
      <c r="I44" s="33">
        <f t="shared" si="4"/>
        <v>0</v>
      </c>
      <c r="J44" s="11">
        <v>4033141.99</v>
      </c>
      <c r="K44" s="16"/>
      <c r="L44" s="107">
        <f t="shared" si="5"/>
        <v>0</v>
      </c>
      <c r="M44" s="65">
        <v>4491697.34</v>
      </c>
      <c r="N44" s="16"/>
      <c r="O44" s="107">
        <f t="shared" si="6"/>
        <v>0</v>
      </c>
      <c r="P44" s="65">
        <v>4905178.24</v>
      </c>
      <c r="Q44" s="16"/>
      <c r="R44" s="107">
        <f t="shared" si="9"/>
        <v>0</v>
      </c>
      <c r="S44" s="65">
        <v>5433566.2300000004</v>
      </c>
      <c r="T44" s="16"/>
      <c r="U44" s="109">
        <f t="shared" si="10"/>
        <v>0</v>
      </c>
      <c r="V44" s="70">
        <v>6029295.4500000002</v>
      </c>
    </row>
    <row r="45" spans="1:22" outlineLevel="1" x14ac:dyDescent="0.2">
      <c r="A45" s="5"/>
      <c r="B45" s="27" t="s">
        <v>198</v>
      </c>
      <c r="C45" s="28"/>
      <c r="D45" s="10" t="s">
        <v>2</v>
      </c>
      <c r="E45" s="29"/>
      <c r="F45" s="16">
        <v>2453.0349999999999</v>
      </c>
      <c r="G45" s="16">
        <f t="shared" si="7"/>
        <v>18863583.800000001</v>
      </c>
      <c r="H45" s="16"/>
      <c r="I45" s="33">
        <f t="shared" si="4"/>
        <v>0</v>
      </c>
      <c r="J45" s="11">
        <v>4033141.99</v>
      </c>
      <c r="K45" s="16"/>
      <c r="L45" s="107">
        <f t="shared" si="5"/>
        <v>0</v>
      </c>
      <c r="M45" s="65">
        <v>4491697.34</v>
      </c>
      <c r="N45" s="16"/>
      <c r="O45" s="107">
        <f t="shared" si="6"/>
        <v>0</v>
      </c>
      <c r="P45" s="65">
        <v>4905178.24</v>
      </c>
      <c r="Q45" s="16"/>
      <c r="R45" s="107">
        <f t="shared" si="9"/>
        <v>0</v>
      </c>
      <c r="S45" s="65">
        <v>5433566.2300000004</v>
      </c>
      <c r="T45" s="16"/>
      <c r="U45" s="109">
        <f t="shared" si="10"/>
        <v>0</v>
      </c>
      <c r="V45" s="70">
        <v>6029295.4500000002</v>
      </c>
    </row>
    <row r="46" spans="1:22" s="2" customFormat="1" collapsed="1" x14ac:dyDescent="0.2">
      <c r="A46" s="7" t="s">
        <v>199</v>
      </c>
      <c r="B46" s="26" t="s">
        <v>200</v>
      </c>
      <c r="C46" s="14" t="s">
        <v>1</v>
      </c>
      <c r="D46" s="10" t="s">
        <v>2</v>
      </c>
      <c r="E46" s="12">
        <f>E59+E60+E49+E61+E47+E48+E50+E62</f>
        <v>51858.527999999998</v>
      </c>
      <c r="F46" s="12">
        <f>F59+F60+F49+F61+F47+F48+F50+F62</f>
        <v>43520.520999999993</v>
      </c>
      <c r="G46" s="12">
        <f>G59+G60+G49+G61+G47+G48+G50+G62</f>
        <v>113635864.98715997</v>
      </c>
      <c r="H46" s="12">
        <f>H59+H60+H49+H61+H47+H48+H50+H62</f>
        <v>80164.323193742472</v>
      </c>
      <c r="I46" s="33">
        <f t="shared" si="4"/>
        <v>1.9876394977540193</v>
      </c>
      <c r="J46" s="11">
        <v>4033141.99</v>
      </c>
      <c r="K46" s="12">
        <f>K59+K60+K49+K61+K47+K48+K50+K62</f>
        <v>85488.872600852468</v>
      </c>
      <c r="L46" s="107">
        <f t="shared" si="5"/>
        <v>1.9032643147958064</v>
      </c>
      <c r="M46" s="65">
        <v>4491697.34</v>
      </c>
      <c r="N46" s="12">
        <f>N59+N60+N49+N61+N47+N48+N50+N62</f>
        <v>91745.951271098602</v>
      </c>
      <c r="O46" s="107">
        <f t="shared" si="6"/>
        <v>1.8703897551151698</v>
      </c>
      <c r="P46" s="65">
        <v>4905178.24</v>
      </c>
      <c r="Q46" s="12">
        <f>Q59+Q60+Q49+Q61+Q47+Q48+Q50+Q62</f>
        <v>95793.083245511414</v>
      </c>
      <c r="R46" s="107">
        <f t="shared" si="9"/>
        <v>1.7629873123955906</v>
      </c>
      <c r="S46" s="65">
        <v>5433566.2300000004</v>
      </c>
      <c r="T46" s="12">
        <f>T59+T60+T49+T61+T47+T48+T50+T62</f>
        <v>101164.95595393731</v>
      </c>
      <c r="U46" s="109">
        <f t="shared" si="10"/>
        <v>1.6778901746129775</v>
      </c>
      <c r="V46" s="70">
        <v>6029295.4500000002</v>
      </c>
    </row>
    <row r="47" spans="1:22" x14ac:dyDescent="0.2">
      <c r="A47" s="5" t="s">
        <v>201</v>
      </c>
      <c r="B47" s="16" t="s">
        <v>202</v>
      </c>
      <c r="C47" s="14" t="s">
        <v>1</v>
      </c>
      <c r="D47" s="10" t="s">
        <v>2</v>
      </c>
      <c r="E47" s="16">
        <v>11620.427</v>
      </c>
      <c r="F47" s="16">
        <v>11738.383</v>
      </c>
      <c r="G47" s="16">
        <f>SUM(H47:T47)</f>
        <v>19032794.478415459</v>
      </c>
      <c r="H47" s="16">
        <v>29683.170068218289</v>
      </c>
      <c r="I47" s="33">
        <f t="shared" si="4"/>
        <v>0.73598128064462931</v>
      </c>
      <c r="J47" s="11">
        <v>4033141.99</v>
      </c>
      <c r="K47" s="16">
        <v>31289.14152179825</v>
      </c>
      <c r="L47" s="66">
        <f t="shared" si="5"/>
        <v>0.69659950689817074</v>
      </c>
      <c r="M47" s="65">
        <v>4491697.34</v>
      </c>
      <c r="N47" s="16">
        <v>33439.113616782422</v>
      </c>
      <c r="O47" s="66">
        <f t="shared" si="6"/>
        <v>0.68171046964406379</v>
      </c>
      <c r="P47" s="65">
        <v>4905178.24</v>
      </c>
      <c r="Q47" s="16">
        <v>37107.892905444358</v>
      </c>
      <c r="R47" s="66">
        <f t="shared" si="9"/>
        <v>0.68293808034515024</v>
      </c>
      <c r="S47" s="65">
        <v>5433566.2300000004</v>
      </c>
      <c r="T47" s="16">
        <v>37688.563073878526</v>
      </c>
      <c r="U47" s="108">
        <f t="shared" si="10"/>
        <v>0.62509066584021067</v>
      </c>
      <c r="V47" s="70">
        <v>6029295.4500000002</v>
      </c>
    </row>
    <row r="48" spans="1:22" x14ac:dyDescent="0.2">
      <c r="A48" s="5" t="s">
        <v>203</v>
      </c>
      <c r="B48" s="16" t="s">
        <v>204</v>
      </c>
      <c r="C48" s="14" t="s">
        <v>1</v>
      </c>
      <c r="D48" s="10" t="s">
        <v>2</v>
      </c>
      <c r="E48" s="16">
        <v>516.84699999999998</v>
      </c>
      <c r="F48" s="16"/>
      <c r="G48" s="16">
        <f>SUM(H48:T48)</f>
        <v>18867034.300107665</v>
      </c>
      <c r="H48" s="16">
        <v>600</v>
      </c>
      <c r="I48" s="33">
        <f t="shared" si="4"/>
        <v>1.4876738817717648E-2</v>
      </c>
      <c r="J48" s="11">
        <v>4033141.99</v>
      </c>
      <c r="K48" s="16">
        <v>642</v>
      </c>
      <c r="L48" s="66">
        <f t="shared" si="5"/>
        <v>1.4293037829659287E-2</v>
      </c>
      <c r="M48" s="65">
        <v>4491697.34</v>
      </c>
      <c r="N48" s="16">
        <v>686.93999999999983</v>
      </c>
      <c r="O48" s="66">
        <f t="shared" si="6"/>
        <v>1.400438406902824E-2</v>
      </c>
      <c r="P48" s="65">
        <v>4905178.24</v>
      </c>
      <c r="Q48" s="16">
        <v>735.02579999999989</v>
      </c>
      <c r="R48" s="66">
        <f t="shared" si="9"/>
        <v>1.3527502360084414E-2</v>
      </c>
      <c r="S48" s="65">
        <v>5433566.2300000004</v>
      </c>
      <c r="T48" s="16">
        <v>786.47760599999992</v>
      </c>
      <c r="U48" s="108">
        <f t="shared" si="10"/>
        <v>1.3044270471104544E-2</v>
      </c>
      <c r="V48" s="70">
        <v>6029295.4500000002</v>
      </c>
    </row>
    <row r="49" spans="1:22" x14ac:dyDescent="0.2">
      <c r="A49" s="5" t="s">
        <v>205</v>
      </c>
      <c r="B49" s="16" t="s">
        <v>206</v>
      </c>
      <c r="C49" s="14" t="s">
        <v>1</v>
      </c>
      <c r="D49" s="10" t="s">
        <v>2</v>
      </c>
      <c r="E49" s="16">
        <v>607.87400000000002</v>
      </c>
      <c r="F49" s="16">
        <v>581.61300000000006</v>
      </c>
      <c r="G49" s="16">
        <f>SUM(H49:T49)</f>
        <v>18867180.146077555</v>
      </c>
      <c r="H49" s="16">
        <v>719.25686607142848</v>
      </c>
      <c r="I49" s="33">
        <f t="shared" si="4"/>
        <v>1.7833660898991271E-2</v>
      </c>
      <c r="J49" s="11">
        <v>4033141.99</v>
      </c>
      <c r="K49" s="16">
        <v>719.25686607142848</v>
      </c>
      <c r="L49" s="66">
        <f t="shared" si="5"/>
        <v>1.6013030523366219E-2</v>
      </c>
      <c r="M49" s="65">
        <v>4491697.34</v>
      </c>
      <c r="N49" s="16">
        <v>719.25686607142848</v>
      </c>
      <c r="O49" s="66">
        <f t="shared" si="6"/>
        <v>1.466321570551998E-2</v>
      </c>
      <c r="P49" s="65">
        <v>4905178.24</v>
      </c>
      <c r="Q49" s="16">
        <v>719.25686607142848</v>
      </c>
      <c r="R49" s="66">
        <f t="shared" si="9"/>
        <v>1.3237289022083541E-2</v>
      </c>
      <c r="S49" s="65">
        <v>5433566.2300000004</v>
      </c>
      <c r="T49" s="16">
        <v>719.25686607142848</v>
      </c>
      <c r="U49" s="108">
        <f t="shared" si="10"/>
        <v>1.1929368398614941E-2</v>
      </c>
      <c r="V49" s="70">
        <v>6029295.4500000002</v>
      </c>
    </row>
    <row r="50" spans="1:22" x14ac:dyDescent="0.2">
      <c r="A50" s="5" t="s">
        <v>207</v>
      </c>
      <c r="B50" s="16" t="s">
        <v>208</v>
      </c>
      <c r="C50" s="14" t="s">
        <v>1</v>
      </c>
      <c r="D50" s="10" t="s">
        <v>2</v>
      </c>
      <c r="E50" s="15">
        <v>22587.363000000001</v>
      </c>
      <c r="F50" s="15">
        <f t="shared" ref="F50:T50" si="11">SUM(F52:F58)</f>
        <v>14930.360999999999</v>
      </c>
      <c r="G50" s="15">
        <f t="shared" si="11"/>
        <v>99529.368000000002</v>
      </c>
      <c r="H50" s="15">
        <f t="shared" si="11"/>
        <v>17236.612999999998</v>
      </c>
      <c r="I50" s="33">
        <f t="shared" si="4"/>
        <v>0.42737431617179428</v>
      </c>
      <c r="J50" s="11">
        <v>4033141.99</v>
      </c>
      <c r="K50" s="15">
        <f t="shared" si="11"/>
        <v>18478.226999999999</v>
      </c>
      <c r="L50" s="66">
        <f t="shared" si="5"/>
        <v>0.41138628899693408</v>
      </c>
      <c r="M50" s="65">
        <v>4491697.34</v>
      </c>
      <c r="N50" s="15">
        <f t="shared" si="11"/>
        <v>19809.557000000001</v>
      </c>
      <c r="O50" s="66">
        <f t="shared" si="6"/>
        <v>0.40384989149752082</v>
      </c>
      <c r="P50" s="65">
        <v>4905178.24</v>
      </c>
      <c r="Q50" s="15">
        <f t="shared" si="11"/>
        <v>21237.109</v>
      </c>
      <c r="R50" s="66">
        <f t="shared" si="9"/>
        <v>0.39085028324022097</v>
      </c>
      <c r="S50" s="65">
        <v>5433566.2300000004</v>
      </c>
      <c r="T50" s="15">
        <f t="shared" si="11"/>
        <v>22767.862000000001</v>
      </c>
      <c r="U50" s="108">
        <f t="shared" si="10"/>
        <v>0.37762060573760736</v>
      </c>
      <c r="V50" s="70">
        <v>6029295.4500000002</v>
      </c>
    </row>
    <row r="51" spans="1:22" outlineLevel="1" x14ac:dyDescent="0.2">
      <c r="A51" s="5"/>
      <c r="B51" s="16" t="s">
        <v>194</v>
      </c>
      <c r="C51" s="14" t="s">
        <v>1</v>
      </c>
      <c r="D51" s="10" t="s">
        <v>2</v>
      </c>
      <c r="E51" s="16"/>
      <c r="F51" s="21"/>
      <c r="G51" s="16">
        <f t="shared" ref="G51:G58" si="12">H51+K51+N51+Q51+T51</f>
        <v>0</v>
      </c>
      <c r="H51" s="16"/>
      <c r="I51" s="33">
        <f t="shared" si="4"/>
        <v>0</v>
      </c>
      <c r="J51" s="11">
        <v>4033141.99</v>
      </c>
      <c r="K51" s="16"/>
      <c r="L51" s="66">
        <f t="shared" si="5"/>
        <v>0</v>
      </c>
      <c r="M51" s="65">
        <v>4491697.34</v>
      </c>
      <c r="N51" s="16"/>
      <c r="O51" s="66">
        <f t="shared" si="6"/>
        <v>0</v>
      </c>
      <c r="P51" s="65">
        <v>4905178.24</v>
      </c>
      <c r="Q51" s="16"/>
      <c r="R51" s="66">
        <f t="shared" si="9"/>
        <v>0</v>
      </c>
      <c r="S51" s="65">
        <v>5433566.2300000004</v>
      </c>
      <c r="T51" s="16"/>
      <c r="U51" s="108">
        <f t="shared" si="10"/>
        <v>0</v>
      </c>
      <c r="V51" s="70">
        <v>6029295.4500000002</v>
      </c>
    </row>
    <row r="52" spans="1:22" outlineLevel="1" x14ac:dyDescent="0.2">
      <c r="A52" s="5"/>
      <c r="B52" s="16" t="s">
        <v>209</v>
      </c>
      <c r="C52" s="14" t="s">
        <v>1</v>
      </c>
      <c r="D52" s="10" t="s">
        <v>2</v>
      </c>
      <c r="E52" s="16"/>
      <c r="F52" s="16">
        <v>105.883</v>
      </c>
      <c r="G52" s="16">
        <f t="shared" si="12"/>
        <v>2217.5650000000001</v>
      </c>
      <c r="H52" s="16">
        <v>385.61399999999998</v>
      </c>
      <c r="I52" s="33">
        <f t="shared" si="4"/>
        <v>9.5611312707589539E-3</v>
      </c>
      <c r="J52" s="11">
        <v>4033141.99</v>
      </c>
      <c r="K52" s="16">
        <v>412.60700000000003</v>
      </c>
      <c r="L52" s="66">
        <f t="shared" si="5"/>
        <v>9.1859929280097043E-3</v>
      </c>
      <c r="M52" s="65">
        <v>4491697.34</v>
      </c>
      <c r="N52" s="16">
        <v>441.48899999999998</v>
      </c>
      <c r="O52" s="66">
        <f t="shared" si="6"/>
        <v>9.0004680441540877E-3</v>
      </c>
      <c r="P52" s="65">
        <v>4905178.24</v>
      </c>
      <c r="Q52" s="16">
        <v>472.39400000000001</v>
      </c>
      <c r="R52" s="66">
        <f t="shared" si="9"/>
        <v>8.6939954351122357E-3</v>
      </c>
      <c r="S52" s="65">
        <v>5433566.2300000004</v>
      </c>
      <c r="T52" s="16">
        <v>505.46100000000001</v>
      </c>
      <c r="U52" s="108">
        <f t="shared" si="10"/>
        <v>8.38341733610019E-3</v>
      </c>
      <c r="V52" s="70">
        <v>6029295.4500000002</v>
      </c>
    </row>
    <row r="53" spans="1:22" outlineLevel="1" x14ac:dyDescent="0.2">
      <c r="A53" s="5"/>
      <c r="B53" s="16" t="s">
        <v>210</v>
      </c>
      <c r="C53" s="14" t="s">
        <v>1</v>
      </c>
      <c r="D53" s="10" t="s">
        <v>2</v>
      </c>
      <c r="E53" s="16"/>
      <c r="F53" s="16">
        <v>586.54300000000001</v>
      </c>
      <c r="G53" s="16">
        <f t="shared" si="12"/>
        <v>14655.376</v>
      </c>
      <c r="H53" s="16">
        <v>2498.1030000000001</v>
      </c>
      <c r="I53" s="33">
        <f t="shared" si="4"/>
        <v>6.1939376451261512E-2</v>
      </c>
      <c r="J53" s="11">
        <v>4033141.99</v>
      </c>
      <c r="K53" s="16">
        <v>2697.9520000000002</v>
      </c>
      <c r="L53" s="66">
        <f t="shared" si="5"/>
        <v>6.0065311524306761E-2</v>
      </c>
      <c r="M53" s="65">
        <v>4491697.34</v>
      </c>
      <c r="N53" s="16">
        <v>2913.788</v>
      </c>
      <c r="O53" s="66">
        <f t="shared" si="6"/>
        <v>5.9402285858627633E-2</v>
      </c>
      <c r="P53" s="65">
        <v>4905178.24</v>
      </c>
      <c r="Q53" s="16">
        <v>3146.8910000000001</v>
      </c>
      <c r="R53" s="66">
        <f t="shared" si="9"/>
        <v>5.7915756738645657E-2</v>
      </c>
      <c r="S53" s="65">
        <v>5433566.2300000004</v>
      </c>
      <c r="T53" s="16">
        <v>3398.6419999999998</v>
      </c>
      <c r="U53" s="108">
        <f t="shared" si="10"/>
        <v>5.6368808398666218E-2</v>
      </c>
      <c r="V53" s="70">
        <v>6029295.4500000002</v>
      </c>
    </row>
    <row r="54" spans="1:22" outlineLevel="1" x14ac:dyDescent="0.2">
      <c r="A54" s="5"/>
      <c r="B54" s="16" t="s">
        <v>211</v>
      </c>
      <c r="C54" s="14" t="s">
        <v>1</v>
      </c>
      <c r="D54" s="10" t="s">
        <v>2</v>
      </c>
      <c r="E54" s="16"/>
      <c r="F54" s="16">
        <v>364.98599999999999</v>
      </c>
      <c r="G54" s="16">
        <f t="shared" si="12"/>
        <v>1784.6819999999998</v>
      </c>
      <c r="H54" s="16">
        <v>310.33999999999997</v>
      </c>
      <c r="I54" s="33">
        <f t="shared" si="4"/>
        <v>7.69474520781749E-3</v>
      </c>
      <c r="J54" s="11">
        <v>4033141.99</v>
      </c>
      <c r="K54" s="16">
        <v>332.06299999999999</v>
      </c>
      <c r="L54" s="66">
        <f t="shared" si="5"/>
        <v>7.392817789455065E-3</v>
      </c>
      <c r="M54" s="65">
        <v>4491697.34</v>
      </c>
      <c r="N54" s="16">
        <v>355.30799999999999</v>
      </c>
      <c r="O54" s="66">
        <f t="shared" si="6"/>
        <v>7.243528830463049E-3</v>
      </c>
      <c r="P54" s="65">
        <v>4905178.24</v>
      </c>
      <c r="Q54" s="16">
        <v>380.17899999999997</v>
      </c>
      <c r="R54" s="66">
        <f t="shared" si="9"/>
        <v>6.9968595928939286E-3</v>
      </c>
      <c r="S54" s="65">
        <v>5433566.2300000004</v>
      </c>
      <c r="T54" s="16">
        <v>406.79199999999997</v>
      </c>
      <c r="U54" s="108">
        <f t="shared" si="10"/>
        <v>6.7469243027392196E-3</v>
      </c>
      <c r="V54" s="70">
        <v>6029295.4500000002</v>
      </c>
    </row>
    <row r="55" spans="1:22" outlineLevel="1" x14ac:dyDescent="0.2">
      <c r="A55" s="5"/>
      <c r="B55" s="16" t="s">
        <v>212</v>
      </c>
      <c r="C55" s="14" t="s">
        <v>1</v>
      </c>
      <c r="D55" s="10" t="s">
        <v>2</v>
      </c>
      <c r="E55" s="16"/>
      <c r="F55" s="16">
        <v>698.505</v>
      </c>
      <c r="G55" s="16">
        <f t="shared" si="12"/>
        <v>8580.1110000000008</v>
      </c>
      <c r="H55" s="16">
        <v>1492.001</v>
      </c>
      <c r="I55" s="33">
        <f t="shared" si="4"/>
        <v>3.6993515321289243E-2</v>
      </c>
      <c r="J55" s="11">
        <v>4033141.99</v>
      </c>
      <c r="K55" s="16">
        <v>1596.442</v>
      </c>
      <c r="L55" s="66">
        <f t="shared" si="5"/>
        <v>3.5542065263017036E-2</v>
      </c>
      <c r="M55" s="65">
        <v>4491697.34</v>
      </c>
      <c r="N55" s="16">
        <v>1708.192</v>
      </c>
      <c r="O55" s="66">
        <f t="shared" si="6"/>
        <v>3.4824259515593051E-2</v>
      </c>
      <c r="P55" s="65">
        <v>4905178.24</v>
      </c>
      <c r="Q55" s="16">
        <v>1827.7660000000001</v>
      </c>
      <c r="R55" s="66">
        <f t="shared" si="9"/>
        <v>3.3638423139272192E-2</v>
      </c>
      <c r="S55" s="65">
        <v>5433566.2300000004</v>
      </c>
      <c r="T55" s="16">
        <v>1955.71</v>
      </c>
      <c r="U55" s="108">
        <f t="shared" si="10"/>
        <v>3.2436791598925541E-2</v>
      </c>
      <c r="V55" s="70">
        <v>6029295.4500000002</v>
      </c>
    </row>
    <row r="56" spans="1:22" outlineLevel="1" x14ac:dyDescent="0.2">
      <c r="A56" s="5"/>
      <c r="B56" s="16" t="s">
        <v>213</v>
      </c>
      <c r="C56" s="14" t="s">
        <v>1</v>
      </c>
      <c r="D56" s="10" t="s">
        <v>2</v>
      </c>
      <c r="E56" s="16"/>
      <c r="F56" s="16">
        <v>9299.64</v>
      </c>
      <c r="G56" s="16">
        <f t="shared" si="12"/>
        <v>46027.700000000004</v>
      </c>
      <c r="H56" s="16">
        <v>8003.7889999999998</v>
      </c>
      <c r="I56" s="33">
        <f t="shared" si="4"/>
        <v>0.19845046417520251</v>
      </c>
      <c r="J56" s="11">
        <v>4033141.99</v>
      </c>
      <c r="K56" s="16">
        <v>8564.0540000000001</v>
      </c>
      <c r="L56" s="66">
        <f t="shared" si="5"/>
        <v>0.1906640931421261</v>
      </c>
      <c r="M56" s="65">
        <v>4491697.34</v>
      </c>
      <c r="N56" s="16">
        <v>9163.5380000000005</v>
      </c>
      <c r="O56" s="66">
        <f t="shared" si="6"/>
        <v>0.18681355807368175</v>
      </c>
      <c r="P56" s="65">
        <v>4905178.24</v>
      </c>
      <c r="Q56" s="16">
        <v>9804.9850000000006</v>
      </c>
      <c r="R56" s="66">
        <f t="shared" si="9"/>
        <v>0.18045211165117242</v>
      </c>
      <c r="S56" s="65">
        <v>5433566.2300000004</v>
      </c>
      <c r="T56" s="16">
        <v>10491.334000000001</v>
      </c>
      <c r="U56" s="108">
        <f t="shared" si="10"/>
        <v>0.17400596947028033</v>
      </c>
      <c r="V56" s="70">
        <v>6029295.4500000002</v>
      </c>
    </row>
    <row r="57" spans="1:22" outlineLevel="1" x14ac:dyDescent="0.2">
      <c r="A57" s="5"/>
      <c r="B57" s="16" t="s">
        <v>214</v>
      </c>
      <c r="C57" s="14" t="s">
        <v>1</v>
      </c>
      <c r="D57" s="10" t="s">
        <v>2</v>
      </c>
      <c r="E57" s="16"/>
      <c r="F57" s="16">
        <v>2980.2150000000001</v>
      </c>
      <c r="G57" s="16">
        <f t="shared" si="12"/>
        <v>20356.315999999999</v>
      </c>
      <c r="H57" s="16">
        <v>3539.7739999999999</v>
      </c>
      <c r="I57" s="33">
        <f t="shared" si="4"/>
        <v>8.7767155452912776E-2</v>
      </c>
      <c r="J57" s="11">
        <v>4033141.99</v>
      </c>
      <c r="K57" s="16">
        <v>3787.558</v>
      </c>
      <c r="L57" s="66">
        <f t="shared" si="5"/>
        <v>8.4323535476680186E-2</v>
      </c>
      <c r="M57" s="65">
        <v>4491697.34</v>
      </c>
      <c r="N57" s="16">
        <v>4052.6869999999999</v>
      </c>
      <c r="O57" s="66">
        <f t="shared" si="6"/>
        <v>8.2620585872940674E-2</v>
      </c>
      <c r="P57" s="65">
        <v>4905178.24</v>
      </c>
      <c r="Q57" s="16">
        <v>4336.375</v>
      </c>
      <c r="R57" s="66">
        <f t="shared" si="9"/>
        <v>7.9807161934602938E-2</v>
      </c>
      <c r="S57" s="65">
        <v>5433566.2300000004</v>
      </c>
      <c r="T57" s="16">
        <v>4639.9219999999996</v>
      </c>
      <c r="U57" s="108">
        <f t="shared" si="10"/>
        <v>7.6956288483092994E-2</v>
      </c>
      <c r="V57" s="70">
        <v>6029295.4500000002</v>
      </c>
    </row>
    <row r="58" spans="1:22" outlineLevel="1" x14ac:dyDescent="0.2">
      <c r="A58" s="5"/>
      <c r="B58" s="16" t="s">
        <v>215</v>
      </c>
      <c r="C58" s="14" t="s">
        <v>1</v>
      </c>
      <c r="D58" s="10" t="s">
        <v>2</v>
      </c>
      <c r="E58" s="16"/>
      <c r="F58" s="16">
        <v>894.58900000000006</v>
      </c>
      <c r="G58" s="16">
        <f t="shared" si="12"/>
        <v>5907.6180000000004</v>
      </c>
      <c r="H58" s="16">
        <v>1006.992</v>
      </c>
      <c r="I58" s="33">
        <f t="shared" si="4"/>
        <v>2.4967928292551879E-2</v>
      </c>
      <c r="J58" s="11">
        <v>4033141.99</v>
      </c>
      <c r="K58" s="16">
        <v>1087.5509999999999</v>
      </c>
      <c r="L58" s="66">
        <f t="shared" si="5"/>
        <v>2.4212472873339233E-2</v>
      </c>
      <c r="M58" s="65">
        <v>4491697.34</v>
      </c>
      <c r="N58" s="16">
        <v>1174.5550000000001</v>
      </c>
      <c r="O58" s="66">
        <f t="shared" si="6"/>
        <v>2.3945205302060544E-2</v>
      </c>
      <c r="P58" s="65">
        <v>4905178.24</v>
      </c>
      <c r="Q58" s="16">
        <v>1268.519</v>
      </c>
      <c r="R58" s="66">
        <f t="shared" si="9"/>
        <v>2.3345974748521649E-2</v>
      </c>
      <c r="S58" s="65">
        <v>5433566.2300000004</v>
      </c>
      <c r="T58" s="16">
        <v>1370.001</v>
      </c>
      <c r="U58" s="108">
        <f t="shared" si="10"/>
        <v>2.2722406147802892E-2</v>
      </c>
      <c r="V58" s="70">
        <v>6029295.4500000002</v>
      </c>
    </row>
    <row r="59" spans="1:22" collapsed="1" x14ac:dyDescent="0.2">
      <c r="A59" s="5" t="s">
        <v>216</v>
      </c>
      <c r="B59" s="16" t="s">
        <v>217</v>
      </c>
      <c r="C59" s="14" t="s">
        <v>1</v>
      </c>
      <c r="D59" s="10" t="s">
        <v>2</v>
      </c>
      <c r="E59" s="16">
        <v>6605.134</v>
      </c>
      <c r="F59" s="16">
        <v>6777.86</v>
      </c>
      <c r="G59" s="16">
        <f t="shared" si="7"/>
        <v>18967220.405549522</v>
      </c>
      <c r="H59" s="16">
        <v>17144.426047102763</v>
      </c>
      <c r="I59" s="33">
        <f t="shared" si="4"/>
        <v>0.42508858080403866</v>
      </c>
      <c r="J59" s="11">
        <v>4033141.99</v>
      </c>
      <c r="K59" s="16">
        <v>18719.906418625425</v>
      </c>
      <c r="L59" s="66">
        <f t="shared" si="5"/>
        <v>0.41676687010762448</v>
      </c>
      <c r="M59" s="65">
        <v>4491697.34</v>
      </c>
      <c r="N59" s="16">
        <v>20599.412219153804</v>
      </c>
      <c r="O59" s="66">
        <f t="shared" si="6"/>
        <v>0.41995236893071192</v>
      </c>
      <c r="P59" s="65">
        <v>4905178.24</v>
      </c>
      <c r="Q59" s="16">
        <v>22549.82203617792</v>
      </c>
      <c r="R59" s="66">
        <f t="shared" si="9"/>
        <v>0.41500961029378891</v>
      </c>
      <c r="S59" s="65">
        <v>5433566.2300000004</v>
      </c>
      <c r="T59" s="16">
        <v>24621.362011030713</v>
      </c>
      <c r="U59" s="108">
        <f t="shared" si="10"/>
        <v>0.40836217457266444</v>
      </c>
      <c r="V59" s="70">
        <v>6029295.4500000002</v>
      </c>
    </row>
    <row r="60" spans="1:22" x14ac:dyDescent="0.2">
      <c r="A60" s="5" t="s">
        <v>218</v>
      </c>
      <c r="B60" s="16" t="s">
        <v>41</v>
      </c>
      <c r="C60" s="14" t="s">
        <v>1</v>
      </c>
      <c r="D60" s="10" t="s">
        <v>2</v>
      </c>
      <c r="E60" s="15">
        <v>3245.2730000000001</v>
      </c>
      <c r="F60" s="15">
        <v>3287.527</v>
      </c>
      <c r="G60" s="16">
        <f t="shared" si="7"/>
        <v>18883451.898629852</v>
      </c>
      <c r="H60" s="16">
        <v>4091.32</v>
      </c>
      <c r="I60" s="33">
        <f t="shared" si="4"/>
        <v>0.10144249843284095</v>
      </c>
      <c r="J60" s="11">
        <v>4033141.99</v>
      </c>
      <c r="K60" s="16">
        <v>4091.3</v>
      </c>
      <c r="L60" s="66">
        <f t="shared" si="5"/>
        <v>9.108583438081784E-2</v>
      </c>
      <c r="M60" s="65">
        <v>4491697.34</v>
      </c>
      <c r="N60" s="16">
        <v>4204.2640000000001</v>
      </c>
      <c r="O60" s="66">
        <f t="shared" si="6"/>
        <v>8.5710728424009314E-2</v>
      </c>
      <c r="P60" s="65">
        <v>4905178.24</v>
      </c>
      <c r="Q60" s="16">
        <v>3562.7497448840004</v>
      </c>
      <c r="R60" s="66">
        <f t="shared" si="9"/>
        <v>6.5569270605614766E-2</v>
      </c>
      <c r="S60" s="65">
        <v>5433566.2300000004</v>
      </c>
      <c r="T60" s="16">
        <v>3918.1210766353406</v>
      </c>
      <c r="U60" s="108">
        <f t="shared" si="10"/>
        <v>6.4984725149525399E-2</v>
      </c>
      <c r="V60" s="70">
        <v>6029295.4500000002</v>
      </c>
    </row>
    <row r="61" spans="1:22" x14ac:dyDescent="0.2">
      <c r="A61" s="5" t="s">
        <v>42</v>
      </c>
      <c r="B61" s="13" t="s">
        <v>43</v>
      </c>
      <c r="C61" s="14" t="s">
        <v>1</v>
      </c>
      <c r="D61" s="10" t="s">
        <v>2</v>
      </c>
      <c r="E61" s="16">
        <v>461.49700000000001</v>
      </c>
      <c r="F61" s="16">
        <v>507.59199999999998</v>
      </c>
      <c r="G61" s="16">
        <f t="shared" si="7"/>
        <v>18867554.237471893</v>
      </c>
      <c r="H61" s="16">
        <v>650.8747901785714</v>
      </c>
      <c r="I61" s="33">
        <f t="shared" si="4"/>
        <v>1.6138157094205637E-2</v>
      </c>
      <c r="J61" s="11">
        <v>4033141.99</v>
      </c>
      <c r="K61" s="16">
        <v>800.96539549107138</v>
      </c>
      <c r="L61" s="66">
        <f t="shared" si="5"/>
        <v>1.7832131928351865E-2</v>
      </c>
      <c r="M61" s="65">
        <v>4491697.34</v>
      </c>
      <c r="N61" s="16">
        <v>782.18284587544645</v>
      </c>
      <c r="O61" s="66">
        <f t="shared" si="6"/>
        <v>1.5946063682192441E-2</v>
      </c>
      <c r="P61" s="65">
        <v>4905178.24</v>
      </c>
      <c r="Q61" s="16">
        <v>797.34960558472767</v>
      </c>
      <c r="R61" s="66">
        <f t="shared" si="9"/>
        <v>1.467451710043346E-2</v>
      </c>
      <c r="S61" s="65">
        <v>5433566.2300000004</v>
      </c>
      <c r="T61" s="16">
        <v>939.00024389449868</v>
      </c>
      <c r="U61" s="108">
        <f t="shared" si="10"/>
        <v>1.5573963022404196E-2</v>
      </c>
      <c r="V61" s="70">
        <v>6029295.4500000002</v>
      </c>
    </row>
    <row r="62" spans="1:22" x14ac:dyDescent="0.2">
      <c r="A62" s="5" t="s">
        <v>44</v>
      </c>
      <c r="B62" s="25" t="s">
        <v>45</v>
      </c>
      <c r="C62" s="14" t="s">
        <v>1</v>
      </c>
      <c r="D62" s="10" t="s">
        <v>2</v>
      </c>
      <c r="E62" s="17">
        <f>SUM(E63:E84)</f>
        <v>6214.1130000000003</v>
      </c>
      <c r="F62" s="17">
        <f>SUM(F63:F84)</f>
        <v>5697.1850000000004</v>
      </c>
      <c r="G62" s="17">
        <f>SUM(G63:G84)</f>
        <v>51100.152908028977</v>
      </c>
      <c r="H62" s="17">
        <f>SUM(H63:H84)</f>
        <v>10038.662422171428</v>
      </c>
      <c r="I62" s="33">
        <f t="shared" si="4"/>
        <v>0.24890426488980189</v>
      </c>
      <c r="J62" s="11">
        <v>4033141.99</v>
      </c>
      <c r="K62" s="17">
        <f>SUM(K63:K84)</f>
        <v>10748.075398866285</v>
      </c>
      <c r="L62" s="66">
        <f t="shared" si="5"/>
        <v>0.23928761413088187</v>
      </c>
      <c r="M62" s="65">
        <v>4491697.34</v>
      </c>
      <c r="N62" s="17">
        <f>SUM(N63:N84)</f>
        <v>11505.224723215499</v>
      </c>
      <c r="O62" s="66">
        <f t="shared" si="6"/>
        <v>0.23455263316212335</v>
      </c>
      <c r="P62" s="65">
        <v>4905178.24</v>
      </c>
      <c r="Q62" s="17">
        <f>SUM(Q63:Q84)</f>
        <v>9083.8772873489779</v>
      </c>
      <c r="R62" s="66">
        <f t="shared" si="9"/>
        <v>0.167180759428214</v>
      </c>
      <c r="S62" s="65">
        <v>5433566.2300000004</v>
      </c>
      <c r="T62" s="17">
        <f>SUM(T63:T84)</f>
        <v>9724.3130764267989</v>
      </c>
      <c r="U62" s="108">
        <f t="shared" si="10"/>
        <v>0.16128440142084594</v>
      </c>
      <c r="V62" s="70">
        <v>6029295.4500000002</v>
      </c>
    </row>
    <row r="63" spans="1:22" outlineLevel="1" x14ac:dyDescent="0.2">
      <c r="A63" s="5"/>
      <c r="B63" s="25" t="s">
        <v>46</v>
      </c>
      <c r="C63" s="14" t="s">
        <v>1</v>
      </c>
      <c r="D63" s="10" t="s">
        <v>2</v>
      </c>
      <c r="E63" s="16">
        <v>216</v>
      </c>
      <c r="F63" s="16">
        <v>216</v>
      </c>
      <c r="G63" s="16">
        <f t="shared" ref="G63:G84" si="13">H63+K63+N63+Q63+T63</f>
        <v>1938.2865833205001</v>
      </c>
      <c r="H63" s="16">
        <v>337.05</v>
      </c>
      <c r="I63" s="33">
        <f t="shared" si="4"/>
        <v>8.3570080308528888E-3</v>
      </c>
      <c r="J63" s="11">
        <v>4033141.99</v>
      </c>
      <c r="K63" s="16">
        <v>360.64350000000002</v>
      </c>
      <c r="L63" s="66">
        <f t="shared" si="5"/>
        <v>8.029114000811105E-3</v>
      </c>
      <c r="M63" s="65">
        <v>4491697.34</v>
      </c>
      <c r="N63" s="16">
        <v>385.88854500000002</v>
      </c>
      <c r="O63" s="66">
        <f t="shared" si="6"/>
        <v>7.8669627507766161E-3</v>
      </c>
      <c r="P63" s="65">
        <v>4905178.24</v>
      </c>
      <c r="Q63" s="16">
        <v>412.90074315000004</v>
      </c>
      <c r="R63" s="66">
        <f t="shared" si="9"/>
        <v>7.5990744507774223E-3</v>
      </c>
      <c r="S63" s="65">
        <v>5433566.2300000004</v>
      </c>
      <c r="T63" s="16">
        <v>441.80379517050005</v>
      </c>
      <c r="U63" s="108">
        <f t="shared" si="10"/>
        <v>7.3276189371429797E-3</v>
      </c>
      <c r="V63" s="70">
        <v>6029295.4500000002</v>
      </c>
    </row>
    <row r="64" spans="1:22" outlineLevel="1" x14ac:dyDescent="0.2">
      <c r="A64" s="5"/>
      <c r="B64" s="25" t="s">
        <v>47</v>
      </c>
      <c r="C64" s="14" t="s">
        <v>1</v>
      </c>
      <c r="D64" s="10" t="s">
        <v>2</v>
      </c>
      <c r="E64" s="16">
        <v>251.52199999999999</v>
      </c>
      <c r="F64" s="16">
        <v>259.49900000000002</v>
      </c>
      <c r="G64" s="16">
        <f t="shared" si="13"/>
        <v>16730.283519061199</v>
      </c>
      <c r="H64" s="16">
        <v>4074.0861428571429</v>
      </c>
      <c r="I64" s="33">
        <f t="shared" si="4"/>
        <v>0.10101519244694736</v>
      </c>
      <c r="J64" s="11">
        <v>4033141.99</v>
      </c>
      <c r="K64" s="16">
        <v>4359.2721728571432</v>
      </c>
      <c r="L64" s="66">
        <f t="shared" si="5"/>
        <v>9.7051778935246413E-2</v>
      </c>
      <c r="M64" s="65">
        <v>4491697.34</v>
      </c>
      <c r="N64" s="16">
        <v>4664.4212249571428</v>
      </c>
      <c r="O64" s="66">
        <f t="shared" si="6"/>
        <v>9.5091778458128828E-2</v>
      </c>
      <c r="P64" s="65">
        <v>4905178.24</v>
      </c>
      <c r="Q64" s="16">
        <v>1754.8328398018216</v>
      </c>
      <c r="R64" s="66">
        <f t="shared" si="9"/>
        <v>3.2296152573110741E-2</v>
      </c>
      <c r="S64" s="65">
        <v>5433566.2300000004</v>
      </c>
      <c r="T64" s="16">
        <v>1877.6711385879494</v>
      </c>
      <c r="U64" s="108">
        <f t="shared" si="10"/>
        <v>3.1142463562437456E-2</v>
      </c>
      <c r="V64" s="70">
        <v>6029295.4500000002</v>
      </c>
    </row>
    <row r="65" spans="1:22" outlineLevel="1" x14ac:dyDescent="0.2">
      <c r="A65" s="5"/>
      <c r="B65" s="25" t="s">
        <v>48</v>
      </c>
      <c r="C65" s="14" t="s">
        <v>1</v>
      </c>
      <c r="D65" s="10" t="s">
        <v>2</v>
      </c>
      <c r="E65" s="15">
        <v>2669.2849999999999</v>
      </c>
      <c r="F65" s="15">
        <v>2642.0740000000001</v>
      </c>
      <c r="G65" s="16">
        <f t="shared" si="13"/>
        <v>16257.449480444217</v>
      </c>
      <c r="H65" s="16">
        <v>2827.0191800000002</v>
      </c>
      <c r="I65" s="33">
        <f t="shared" si="4"/>
        <v>7.0094709955897186E-2</v>
      </c>
      <c r="J65" s="11">
        <v>4033141.99</v>
      </c>
      <c r="K65" s="16">
        <v>3024.9105226000006</v>
      </c>
      <c r="L65" s="66">
        <f t="shared" si="5"/>
        <v>6.7344486808187318E-2</v>
      </c>
      <c r="M65" s="65">
        <v>4491697.34</v>
      </c>
      <c r="N65" s="16">
        <v>3236.6542591820007</v>
      </c>
      <c r="O65" s="66">
        <f t="shared" si="6"/>
        <v>6.5984437278715488E-2</v>
      </c>
      <c r="P65" s="65">
        <v>4905178.24</v>
      </c>
      <c r="Q65" s="16">
        <v>3463.220057324741</v>
      </c>
      <c r="R65" s="66">
        <f t="shared" si="9"/>
        <v>6.3737514382423213E-2</v>
      </c>
      <c r="S65" s="65">
        <v>5433566.2300000004</v>
      </c>
      <c r="T65" s="16">
        <v>3705.6454613374731</v>
      </c>
      <c r="U65" s="108">
        <f t="shared" si="10"/>
        <v>6.1460671351533672E-2</v>
      </c>
      <c r="V65" s="70">
        <v>6029295.4500000002</v>
      </c>
    </row>
    <row r="66" spans="1:22" outlineLevel="1" x14ac:dyDescent="0.2">
      <c r="A66" s="5"/>
      <c r="B66" s="16" t="s">
        <v>49</v>
      </c>
      <c r="C66" s="14" t="s">
        <v>1</v>
      </c>
      <c r="D66" s="10" t="s">
        <v>2</v>
      </c>
      <c r="E66" s="15">
        <v>45</v>
      </c>
      <c r="F66" s="15">
        <v>45</v>
      </c>
      <c r="G66" s="16">
        <f t="shared" si="13"/>
        <v>276.8980833315</v>
      </c>
      <c r="H66" s="16">
        <v>48.15</v>
      </c>
      <c r="I66" s="33">
        <f t="shared" si="4"/>
        <v>1.1938582901218412E-3</v>
      </c>
      <c r="J66" s="11">
        <v>4033141.99</v>
      </c>
      <c r="K66" s="16">
        <v>51.520499999999998</v>
      </c>
      <c r="L66" s="66">
        <f t="shared" si="5"/>
        <v>1.147016285830158E-3</v>
      </c>
      <c r="M66" s="65">
        <v>4491697.34</v>
      </c>
      <c r="N66" s="16">
        <v>55.126935000000003</v>
      </c>
      <c r="O66" s="66">
        <f t="shared" si="6"/>
        <v>1.1238518215395167E-3</v>
      </c>
      <c r="P66" s="65">
        <v>4905178.24</v>
      </c>
      <c r="Q66" s="16">
        <v>58.985820450000006</v>
      </c>
      <c r="R66" s="66">
        <f t="shared" si="9"/>
        <v>1.0855820643967747E-3</v>
      </c>
      <c r="S66" s="65">
        <v>5433566.2300000004</v>
      </c>
      <c r="T66" s="16">
        <v>63.114827881500013</v>
      </c>
      <c r="U66" s="108">
        <f t="shared" si="10"/>
        <v>1.04680270530614E-3</v>
      </c>
      <c r="V66" s="70">
        <v>6029295.4500000002</v>
      </c>
    </row>
    <row r="67" spans="1:22" outlineLevel="1" x14ac:dyDescent="0.2">
      <c r="A67" s="30"/>
      <c r="B67" s="16" t="s">
        <v>50</v>
      </c>
      <c r="C67" s="14" t="s">
        <v>1</v>
      </c>
      <c r="D67" s="10" t="s">
        <v>2</v>
      </c>
      <c r="E67" s="15">
        <v>136.60499999999999</v>
      </c>
      <c r="F67" s="15">
        <v>136.60499999999999</v>
      </c>
      <c r="G67" s="16">
        <f t="shared" si="13"/>
        <v>873.70870585154853</v>
      </c>
      <c r="H67" s="16">
        <v>151.92981359999999</v>
      </c>
      <c r="I67" s="33">
        <f t="shared" si="4"/>
        <v>3.7670335925862101E-3</v>
      </c>
      <c r="J67" s="11">
        <v>4033141.99</v>
      </c>
      <c r="K67" s="16">
        <v>162.56490055199998</v>
      </c>
      <c r="L67" s="66">
        <f t="shared" si="5"/>
        <v>3.6192309553964739E-3</v>
      </c>
      <c r="M67" s="65">
        <v>4491697.34</v>
      </c>
      <c r="N67" s="16">
        <v>173.94444359063999</v>
      </c>
      <c r="O67" s="66">
        <f t="shared" si="6"/>
        <v>3.5461391019837836E-3</v>
      </c>
      <c r="P67" s="65">
        <v>4905178.24</v>
      </c>
      <c r="Q67" s="16">
        <v>186.1205546419848</v>
      </c>
      <c r="R67" s="66">
        <f t="shared" si="9"/>
        <v>3.4253848534019759E-3</v>
      </c>
      <c r="S67" s="65">
        <v>5433566.2300000004</v>
      </c>
      <c r="T67" s="16">
        <v>199.14899346692374</v>
      </c>
      <c r="U67" s="108">
        <f t="shared" si="10"/>
        <v>3.3030226353714968E-3</v>
      </c>
      <c r="V67" s="70">
        <v>6029295.4500000002</v>
      </c>
    </row>
    <row r="68" spans="1:22" outlineLevel="1" x14ac:dyDescent="0.2">
      <c r="A68" s="30"/>
      <c r="B68" s="25" t="s">
        <v>51</v>
      </c>
      <c r="C68" s="14" t="s">
        <v>1</v>
      </c>
      <c r="D68" s="10" t="s">
        <v>2</v>
      </c>
      <c r="E68" s="15">
        <v>126.17</v>
      </c>
      <c r="F68" s="15">
        <v>211.61</v>
      </c>
      <c r="G68" s="16">
        <f t="shared" si="13"/>
        <v>1575.2424296192003</v>
      </c>
      <c r="H68" s="16">
        <v>273.92</v>
      </c>
      <c r="I68" s="33">
        <f t="shared" si="4"/>
        <v>6.7917271615820299E-3</v>
      </c>
      <c r="J68" s="11">
        <v>4033141.99</v>
      </c>
      <c r="K68" s="16">
        <v>293.09440000000001</v>
      </c>
      <c r="L68" s="66">
        <f t="shared" si="5"/>
        <v>6.5252482038337884E-3</v>
      </c>
      <c r="M68" s="65">
        <v>4491697.34</v>
      </c>
      <c r="N68" s="16">
        <v>313.61100800000003</v>
      </c>
      <c r="O68" s="66">
        <f t="shared" si="6"/>
        <v>6.3934681403136949E-3</v>
      </c>
      <c r="P68" s="65">
        <v>4905178.24</v>
      </c>
      <c r="Q68" s="16">
        <v>335.56377856000006</v>
      </c>
      <c r="R68" s="66">
        <f t="shared" si="9"/>
        <v>6.1757557441238743E-3</v>
      </c>
      <c r="S68" s="65">
        <v>5433566.2300000004</v>
      </c>
      <c r="T68" s="16">
        <v>359.0532430592001</v>
      </c>
      <c r="U68" s="108">
        <f t="shared" si="10"/>
        <v>5.9551442790749306E-3</v>
      </c>
      <c r="V68" s="70">
        <v>6029295.4500000002</v>
      </c>
    </row>
    <row r="69" spans="1:22" ht="15" customHeight="1" outlineLevel="1" x14ac:dyDescent="0.2">
      <c r="A69" s="30"/>
      <c r="B69" s="25" t="s">
        <v>52</v>
      </c>
      <c r="C69" s="14" t="s">
        <v>1</v>
      </c>
      <c r="D69" s="10" t="s">
        <v>2</v>
      </c>
      <c r="E69" s="15">
        <v>262.96699999999998</v>
      </c>
      <c r="F69" s="15">
        <v>111.539</v>
      </c>
      <c r="G69" s="16">
        <f t="shared" si="13"/>
        <v>1185.6336407487638</v>
      </c>
      <c r="H69" s="16">
        <v>206.17065714285712</v>
      </c>
      <c r="I69" s="33">
        <f t="shared" si="4"/>
        <v>5.1119116969858313E-3</v>
      </c>
      <c r="J69" s="11">
        <v>4033141.99</v>
      </c>
      <c r="K69" s="16">
        <v>220.60260314285713</v>
      </c>
      <c r="L69" s="66">
        <f t="shared" si="5"/>
        <v>4.9113416698476206E-3</v>
      </c>
      <c r="M69" s="65">
        <v>4491697.34</v>
      </c>
      <c r="N69" s="16">
        <v>236.04478536285714</v>
      </c>
      <c r="O69" s="66">
        <f t="shared" si="6"/>
        <v>4.8121551106541875E-3</v>
      </c>
      <c r="P69" s="65">
        <v>4905178.24</v>
      </c>
      <c r="Q69" s="16">
        <v>252.56792033825715</v>
      </c>
      <c r="R69" s="66">
        <f t="shared" si="9"/>
        <v>4.6482900851335923E-3</v>
      </c>
      <c r="S69" s="65">
        <v>5433566.2300000004</v>
      </c>
      <c r="T69" s="16">
        <v>270.24767476193517</v>
      </c>
      <c r="U69" s="108">
        <f t="shared" si="10"/>
        <v>4.4822430249613189E-3</v>
      </c>
      <c r="V69" s="70">
        <v>6029295.4500000002</v>
      </c>
    </row>
    <row r="70" spans="1:22" ht="15" customHeight="1" outlineLevel="1" x14ac:dyDescent="0.2">
      <c r="A70" s="30"/>
      <c r="B70" s="25" t="s">
        <v>53</v>
      </c>
      <c r="C70" s="14" t="s">
        <v>1</v>
      </c>
      <c r="D70" s="10" t="s">
        <v>2</v>
      </c>
      <c r="E70" s="15">
        <v>369.517</v>
      </c>
      <c r="F70" s="15">
        <v>404.339</v>
      </c>
      <c r="G70" s="16">
        <f t="shared" si="13"/>
        <v>3263.4416964069642</v>
      </c>
      <c r="H70" s="16">
        <v>567.48214285714278</v>
      </c>
      <c r="I70" s="33">
        <f t="shared" si="4"/>
        <v>1.4070472705007411E-2</v>
      </c>
      <c r="J70" s="11">
        <v>4033141.99</v>
      </c>
      <c r="K70" s="16">
        <v>607.20589285714277</v>
      </c>
      <c r="L70" s="66">
        <f t="shared" si="5"/>
        <v>1.3518406225855432E-2</v>
      </c>
      <c r="M70" s="65">
        <v>4491697.34</v>
      </c>
      <c r="N70" s="16">
        <v>649.71030535714283</v>
      </c>
      <c r="O70" s="66">
        <f t="shared" si="6"/>
        <v>1.3245396468144301E-2</v>
      </c>
      <c r="P70" s="65">
        <v>4905178.24</v>
      </c>
      <c r="Q70" s="16">
        <v>695.19002673214288</v>
      </c>
      <c r="R70" s="66">
        <f t="shared" si="9"/>
        <v>1.2794360044676273E-2</v>
      </c>
      <c r="S70" s="65">
        <v>5433566.2300000004</v>
      </c>
      <c r="T70" s="16">
        <v>743.85332860339292</v>
      </c>
      <c r="U70" s="108">
        <f t="shared" si="10"/>
        <v>1.2337317598250935E-2</v>
      </c>
      <c r="V70" s="70">
        <v>6029295.4500000002</v>
      </c>
    </row>
    <row r="71" spans="1:22" ht="15" customHeight="1" outlineLevel="1" x14ac:dyDescent="0.2">
      <c r="A71" s="30"/>
      <c r="B71" s="25" t="s">
        <v>54</v>
      </c>
      <c r="C71" s="14" t="s">
        <v>1</v>
      </c>
      <c r="D71" s="10" t="s">
        <v>2</v>
      </c>
      <c r="E71" s="15">
        <v>1298.4559999999999</v>
      </c>
      <c r="F71" s="15">
        <v>454</v>
      </c>
      <c r="G71" s="16">
        <f t="shared" si="13"/>
        <v>4029.4209086399887</v>
      </c>
      <c r="H71" s="16">
        <v>700.67880000000002</v>
      </c>
      <c r="I71" s="33">
        <f t="shared" si="4"/>
        <v>1.7373025837853034E-2</v>
      </c>
      <c r="J71" s="11">
        <v>4033141.99</v>
      </c>
      <c r="K71" s="16">
        <v>749.72631600000011</v>
      </c>
      <c r="L71" s="66">
        <f t="shared" si="5"/>
        <v>1.669138099140046E-2</v>
      </c>
      <c r="M71" s="65">
        <v>4491697.34</v>
      </c>
      <c r="N71" s="16">
        <v>802.20715812000014</v>
      </c>
      <c r="O71" s="66">
        <f t="shared" si="6"/>
        <v>1.6354291707043049E-2</v>
      </c>
      <c r="P71" s="65">
        <v>4905178.24</v>
      </c>
      <c r="Q71" s="16">
        <v>858.36165918840015</v>
      </c>
      <c r="R71" s="66">
        <f t="shared" si="9"/>
        <v>1.5797390201101866E-2</v>
      </c>
      <c r="S71" s="65">
        <v>5433566.2300000004</v>
      </c>
      <c r="T71" s="16">
        <v>918.44697533158819</v>
      </c>
      <c r="U71" s="108">
        <f t="shared" si="10"/>
        <v>1.523307296761495E-2</v>
      </c>
      <c r="V71" s="70">
        <v>6029295.4500000002</v>
      </c>
    </row>
    <row r="72" spans="1:22" outlineLevel="1" x14ac:dyDescent="0.2">
      <c r="A72" s="30"/>
      <c r="B72" s="31" t="s">
        <v>55</v>
      </c>
      <c r="C72" s="14" t="s">
        <v>1</v>
      </c>
      <c r="D72" s="10" t="s">
        <v>2</v>
      </c>
      <c r="E72" s="15">
        <f>122.232+31.916</f>
        <v>154.148</v>
      </c>
      <c r="F72" s="15">
        <f>57.517+31.916</f>
        <v>89.433000000000007</v>
      </c>
      <c r="G72" s="16">
        <f t="shared" si="13"/>
        <v>0</v>
      </c>
      <c r="H72" s="16">
        <v>0</v>
      </c>
      <c r="I72" s="33">
        <f t="shared" si="4"/>
        <v>0</v>
      </c>
      <c r="J72" s="11">
        <v>4033141.99</v>
      </c>
      <c r="K72" s="16"/>
      <c r="L72" s="66">
        <f t="shared" si="5"/>
        <v>0</v>
      </c>
      <c r="M72" s="65">
        <v>4491697.34</v>
      </c>
      <c r="N72" s="16"/>
      <c r="O72" s="66">
        <f t="shared" si="6"/>
        <v>0</v>
      </c>
      <c r="P72" s="65">
        <v>4905178.24</v>
      </c>
      <c r="Q72" s="16"/>
      <c r="R72" s="66">
        <f t="shared" si="9"/>
        <v>0</v>
      </c>
      <c r="S72" s="65">
        <v>5433566.2300000004</v>
      </c>
      <c r="T72" s="16"/>
      <c r="U72" s="108">
        <f t="shared" si="10"/>
        <v>0</v>
      </c>
      <c r="V72" s="70">
        <v>6029295.4500000002</v>
      </c>
    </row>
    <row r="73" spans="1:22" outlineLevel="1" x14ac:dyDescent="0.2">
      <c r="A73" s="30"/>
      <c r="B73" s="16" t="s">
        <v>56</v>
      </c>
      <c r="C73" s="14" t="s">
        <v>1</v>
      </c>
      <c r="D73" s="10" t="s">
        <v>2</v>
      </c>
      <c r="E73" s="15">
        <v>102.85</v>
      </c>
      <c r="F73" s="15">
        <v>166.54</v>
      </c>
      <c r="G73" s="16">
        <f t="shared" si="13"/>
        <v>437.05616476000006</v>
      </c>
      <c r="H73" s="16">
        <v>76</v>
      </c>
      <c r="I73" s="33">
        <f t="shared" si="4"/>
        <v>1.8843869169109019E-3</v>
      </c>
      <c r="J73" s="11">
        <v>4033141.99</v>
      </c>
      <c r="K73" s="16">
        <v>81.320000000000007</v>
      </c>
      <c r="L73" s="66">
        <f t="shared" si="5"/>
        <v>1.8104514584235101E-3</v>
      </c>
      <c r="M73" s="65">
        <v>4491697.34</v>
      </c>
      <c r="N73" s="16">
        <v>87.012400000000014</v>
      </c>
      <c r="O73" s="66">
        <f t="shared" si="6"/>
        <v>1.7738886487435777E-3</v>
      </c>
      <c r="P73" s="65">
        <v>4905178.24</v>
      </c>
      <c r="Q73" s="16">
        <v>93.103268000000014</v>
      </c>
      <c r="R73" s="66">
        <f t="shared" si="9"/>
        <v>1.71348363227736E-3</v>
      </c>
      <c r="S73" s="65">
        <v>5433566.2300000004</v>
      </c>
      <c r="T73" s="16">
        <v>99.620496760000023</v>
      </c>
      <c r="U73" s="108">
        <f t="shared" si="10"/>
        <v>1.652274259673243E-3</v>
      </c>
      <c r="V73" s="70">
        <v>6029295.4500000002</v>
      </c>
    </row>
    <row r="74" spans="1:22" outlineLevel="1" x14ac:dyDescent="0.2">
      <c r="A74" s="30"/>
      <c r="B74" s="16" t="s">
        <v>57</v>
      </c>
      <c r="C74" s="14" t="s">
        <v>1</v>
      </c>
      <c r="D74" s="10" t="s">
        <v>2</v>
      </c>
      <c r="E74" s="15">
        <v>220.24</v>
      </c>
      <c r="F74" s="15">
        <v>302.7</v>
      </c>
      <c r="G74" s="16">
        <f t="shared" si="13"/>
        <v>2056.8604958937894</v>
      </c>
      <c r="H74" s="16">
        <v>357.66890000000001</v>
      </c>
      <c r="I74" s="33">
        <f t="shared" si="4"/>
        <v>8.8682446808672852E-3</v>
      </c>
      <c r="J74" s="11">
        <v>4033141.99</v>
      </c>
      <c r="K74" s="16">
        <v>382.70572300000003</v>
      </c>
      <c r="L74" s="66">
        <f t="shared" si="5"/>
        <v>8.5202918636543765E-3</v>
      </c>
      <c r="M74" s="65">
        <v>4491697.34</v>
      </c>
      <c r="N74" s="16">
        <v>409.49512361000006</v>
      </c>
      <c r="O74" s="66">
        <f t="shared" si="6"/>
        <v>8.3482210752447612E-3</v>
      </c>
      <c r="P74" s="65">
        <v>4905178.24</v>
      </c>
      <c r="Q74" s="16">
        <v>438.15978226270011</v>
      </c>
      <c r="R74" s="66">
        <f t="shared" si="9"/>
        <v>8.0639448147979981E-3</v>
      </c>
      <c r="S74" s="65">
        <v>5433566.2300000004</v>
      </c>
      <c r="T74" s="16">
        <v>468.83096702108912</v>
      </c>
      <c r="U74" s="108">
        <f t="shared" si="10"/>
        <v>7.7758831178374108E-3</v>
      </c>
      <c r="V74" s="70">
        <v>6029295.4500000002</v>
      </c>
    </row>
    <row r="75" spans="1:22" outlineLevel="1" x14ac:dyDescent="0.2">
      <c r="A75" s="30"/>
      <c r="B75" s="16" t="s">
        <v>58</v>
      </c>
      <c r="C75" s="14" t="s">
        <v>1</v>
      </c>
      <c r="D75" s="10" t="s">
        <v>2</v>
      </c>
      <c r="E75" s="15">
        <v>55</v>
      </c>
      <c r="F75" s="15">
        <v>105</v>
      </c>
      <c r="G75" s="16">
        <f t="shared" si="13"/>
        <v>0</v>
      </c>
      <c r="H75" s="16"/>
      <c r="I75" s="33">
        <f t="shared" si="4"/>
        <v>0</v>
      </c>
      <c r="J75" s="11">
        <v>4033141.99</v>
      </c>
      <c r="K75" s="16"/>
      <c r="L75" s="66">
        <f t="shared" si="5"/>
        <v>0</v>
      </c>
      <c r="M75" s="65">
        <v>4491697.34</v>
      </c>
      <c r="N75" s="16"/>
      <c r="O75" s="66">
        <f t="shared" si="6"/>
        <v>0</v>
      </c>
      <c r="P75" s="65">
        <v>4905178.24</v>
      </c>
      <c r="Q75" s="16"/>
      <c r="R75" s="66">
        <f t="shared" ref="R75:R106" si="14">Q75/S75*100</f>
        <v>0</v>
      </c>
      <c r="S75" s="65">
        <v>5433566.2300000004</v>
      </c>
      <c r="T75" s="16"/>
      <c r="U75" s="108">
        <f t="shared" ref="U75:U106" si="15">T75/V75*100</f>
        <v>0</v>
      </c>
      <c r="V75" s="70">
        <v>6029295.4500000002</v>
      </c>
    </row>
    <row r="76" spans="1:22" outlineLevel="1" x14ac:dyDescent="0.2">
      <c r="A76" s="30"/>
      <c r="B76" s="16" t="s">
        <v>59</v>
      </c>
      <c r="C76" s="14" t="s">
        <v>1</v>
      </c>
      <c r="D76" s="10" t="s">
        <v>2</v>
      </c>
      <c r="E76" s="15">
        <v>164.19</v>
      </c>
      <c r="F76" s="15">
        <v>164.19</v>
      </c>
      <c r="G76" s="16">
        <f t="shared" si="13"/>
        <v>0</v>
      </c>
      <c r="H76" s="16"/>
      <c r="I76" s="33">
        <f t="shared" ref="I76:I121" si="16">H76/J76*100</f>
        <v>0</v>
      </c>
      <c r="J76" s="11">
        <v>4033141.99</v>
      </c>
      <c r="K76" s="16"/>
      <c r="L76" s="66">
        <f t="shared" ref="L76:L121" si="17">K76/M76*100</f>
        <v>0</v>
      </c>
      <c r="M76" s="65">
        <v>4491697.34</v>
      </c>
      <c r="N76" s="16"/>
      <c r="O76" s="66">
        <f t="shared" ref="O76:O121" si="18">N76/P76*100</f>
        <v>0</v>
      </c>
      <c r="P76" s="65">
        <v>4905178.24</v>
      </c>
      <c r="Q76" s="16"/>
      <c r="R76" s="66">
        <f t="shared" si="14"/>
        <v>0</v>
      </c>
      <c r="S76" s="65">
        <v>5433566.2300000004</v>
      </c>
      <c r="T76" s="16"/>
      <c r="U76" s="108">
        <f t="shared" si="15"/>
        <v>0</v>
      </c>
      <c r="V76" s="70">
        <v>6029295.4500000002</v>
      </c>
    </row>
    <row r="77" spans="1:22" outlineLevel="1" x14ac:dyDescent="0.2">
      <c r="A77" s="30"/>
      <c r="B77" s="16" t="s">
        <v>60</v>
      </c>
      <c r="C77" s="14" t="s">
        <v>1</v>
      </c>
      <c r="D77" s="10" t="s">
        <v>2</v>
      </c>
      <c r="E77" s="15">
        <v>11.87</v>
      </c>
      <c r="F77" s="15">
        <v>11.87</v>
      </c>
      <c r="G77" s="16">
        <f t="shared" si="13"/>
        <v>0</v>
      </c>
      <c r="H77" s="16"/>
      <c r="I77" s="33">
        <f t="shared" si="16"/>
        <v>0</v>
      </c>
      <c r="J77" s="11">
        <v>4033141.99</v>
      </c>
      <c r="K77" s="16"/>
      <c r="L77" s="66">
        <f t="shared" si="17"/>
        <v>0</v>
      </c>
      <c r="M77" s="65">
        <v>4491697.34</v>
      </c>
      <c r="N77" s="16"/>
      <c r="O77" s="66">
        <f t="shared" si="18"/>
        <v>0</v>
      </c>
      <c r="P77" s="65">
        <v>4905178.24</v>
      </c>
      <c r="Q77" s="16"/>
      <c r="R77" s="66">
        <f t="shared" si="14"/>
        <v>0</v>
      </c>
      <c r="S77" s="65">
        <v>5433566.2300000004</v>
      </c>
      <c r="T77" s="16"/>
      <c r="U77" s="108">
        <f t="shared" si="15"/>
        <v>0</v>
      </c>
      <c r="V77" s="70">
        <v>6029295.4500000002</v>
      </c>
    </row>
    <row r="78" spans="1:22" outlineLevel="1" x14ac:dyDescent="0.2">
      <c r="A78" s="30"/>
      <c r="B78" s="16" t="s">
        <v>61</v>
      </c>
      <c r="C78" s="14" t="s">
        <v>1</v>
      </c>
      <c r="D78" s="10" t="s">
        <v>2</v>
      </c>
      <c r="E78" s="15">
        <v>14.56</v>
      </c>
      <c r="F78" s="15">
        <v>14.56</v>
      </c>
      <c r="G78" s="16">
        <f t="shared" si="13"/>
        <v>0</v>
      </c>
      <c r="H78" s="16"/>
      <c r="I78" s="33">
        <f t="shared" si="16"/>
        <v>0</v>
      </c>
      <c r="J78" s="11">
        <v>4033141.99</v>
      </c>
      <c r="K78" s="16"/>
      <c r="L78" s="66">
        <f t="shared" si="17"/>
        <v>0</v>
      </c>
      <c r="M78" s="65">
        <v>4491697.34</v>
      </c>
      <c r="N78" s="16"/>
      <c r="O78" s="66">
        <f t="shared" si="18"/>
        <v>0</v>
      </c>
      <c r="P78" s="65">
        <v>4905178.24</v>
      </c>
      <c r="Q78" s="16"/>
      <c r="R78" s="66">
        <f t="shared" si="14"/>
        <v>0</v>
      </c>
      <c r="S78" s="65">
        <v>5433566.2300000004</v>
      </c>
      <c r="T78" s="16"/>
      <c r="U78" s="108">
        <f t="shared" si="15"/>
        <v>0</v>
      </c>
      <c r="V78" s="70">
        <v>6029295.4500000002</v>
      </c>
    </row>
    <row r="79" spans="1:22" outlineLevel="1" x14ac:dyDescent="0.2">
      <c r="A79" s="30"/>
      <c r="B79" s="16" t="s">
        <v>62</v>
      </c>
      <c r="C79" s="14" t="s">
        <v>1</v>
      </c>
      <c r="D79" s="10" t="s">
        <v>2</v>
      </c>
      <c r="E79" s="15">
        <v>15.21</v>
      </c>
      <c r="F79" s="15">
        <v>9.2140000000000004</v>
      </c>
      <c r="G79" s="16">
        <f t="shared" si="13"/>
        <v>0</v>
      </c>
      <c r="H79" s="16"/>
      <c r="I79" s="33">
        <f t="shared" si="16"/>
        <v>0</v>
      </c>
      <c r="J79" s="11">
        <v>4033141.99</v>
      </c>
      <c r="K79" s="16"/>
      <c r="L79" s="66">
        <f t="shared" si="17"/>
        <v>0</v>
      </c>
      <c r="M79" s="65">
        <v>4491697.34</v>
      </c>
      <c r="N79" s="16"/>
      <c r="O79" s="66">
        <f t="shared" si="18"/>
        <v>0</v>
      </c>
      <c r="P79" s="65">
        <v>4905178.24</v>
      </c>
      <c r="Q79" s="16"/>
      <c r="R79" s="66">
        <f t="shared" si="14"/>
        <v>0</v>
      </c>
      <c r="S79" s="65">
        <v>5433566.2300000004</v>
      </c>
      <c r="T79" s="16"/>
      <c r="U79" s="108">
        <f t="shared" si="15"/>
        <v>0</v>
      </c>
      <c r="V79" s="70">
        <v>6029295.4500000002</v>
      </c>
    </row>
    <row r="80" spans="1:22" outlineLevel="1" x14ac:dyDescent="0.2">
      <c r="A80" s="30"/>
      <c r="B80" s="16" t="s">
        <v>63</v>
      </c>
      <c r="C80" s="14" t="s">
        <v>1</v>
      </c>
      <c r="D80" s="10" t="s">
        <v>2</v>
      </c>
      <c r="E80" s="15">
        <v>10</v>
      </c>
      <c r="F80" s="15"/>
      <c r="G80" s="16">
        <f t="shared" si="13"/>
        <v>0</v>
      </c>
      <c r="H80" s="16"/>
      <c r="I80" s="33">
        <f t="shared" si="16"/>
        <v>0</v>
      </c>
      <c r="J80" s="11">
        <v>4033141.99</v>
      </c>
      <c r="K80" s="16"/>
      <c r="L80" s="66">
        <f t="shared" si="17"/>
        <v>0</v>
      </c>
      <c r="M80" s="65">
        <v>4491697.34</v>
      </c>
      <c r="N80" s="16"/>
      <c r="O80" s="66">
        <f t="shared" si="18"/>
        <v>0</v>
      </c>
      <c r="P80" s="65">
        <v>4905178.24</v>
      </c>
      <c r="Q80" s="16"/>
      <c r="R80" s="66">
        <f t="shared" si="14"/>
        <v>0</v>
      </c>
      <c r="S80" s="65">
        <v>5433566.2300000004</v>
      </c>
      <c r="T80" s="16"/>
      <c r="U80" s="108">
        <f t="shared" si="15"/>
        <v>0</v>
      </c>
      <c r="V80" s="70">
        <v>6029295.4500000002</v>
      </c>
    </row>
    <row r="81" spans="1:22" outlineLevel="1" x14ac:dyDescent="0.2">
      <c r="A81" s="30"/>
      <c r="B81" s="16" t="s">
        <v>64</v>
      </c>
      <c r="C81" s="14" t="s">
        <v>1</v>
      </c>
      <c r="D81" s="10" t="s">
        <v>2</v>
      </c>
      <c r="E81" s="15">
        <v>53.404000000000003</v>
      </c>
      <c r="F81" s="15">
        <v>314</v>
      </c>
      <c r="G81" s="16">
        <f t="shared" si="13"/>
        <v>1932.1332925798008</v>
      </c>
      <c r="H81" s="16">
        <v>335.98</v>
      </c>
      <c r="I81" s="33">
        <f t="shared" si="16"/>
        <v>8.330477846627958E-3</v>
      </c>
      <c r="J81" s="11">
        <v>4033141.99</v>
      </c>
      <c r="K81" s="16">
        <v>359.49860000000007</v>
      </c>
      <c r="L81" s="66">
        <f t="shared" si="17"/>
        <v>8.0036247500148809E-3</v>
      </c>
      <c r="M81" s="65">
        <v>4491697.34</v>
      </c>
      <c r="N81" s="16">
        <v>384.66350200000011</v>
      </c>
      <c r="O81" s="66">
        <f t="shared" si="18"/>
        <v>7.8419882658535174E-3</v>
      </c>
      <c r="P81" s="65">
        <v>4905178.24</v>
      </c>
      <c r="Q81" s="16">
        <v>411.58994714000016</v>
      </c>
      <c r="R81" s="66">
        <f t="shared" si="14"/>
        <v>7.5749504049019414E-3</v>
      </c>
      <c r="S81" s="65">
        <v>5433566.2300000004</v>
      </c>
      <c r="T81" s="16">
        <v>440.40124343980023</v>
      </c>
      <c r="U81" s="108">
        <f t="shared" si="15"/>
        <v>7.3043566548028462E-3</v>
      </c>
      <c r="V81" s="70">
        <v>6029295.4500000002</v>
      </c>
    </row>
    <row r="82" spans="1:22" outlineLevel="1" x14ac:dyDescent="0.2">
      <c r="A82" s="30"/>
      <c r="B82" s="16" t="s">
        <v>65</v>
      </c>
      <c r="C82" s="14" t="s">
        <v>1</v>
      </c>
      <c r="D82" s="10" t="s">
        <v>2</v>
      </c>
      <c r="E82" s="15">
        <v>19.262</v>
      </c>
      <c r="F82" s="15"/>
      <c r="G82" s="16">
        <f t="shared" si="13"/>
        <v>0</v>
      </c>
      <c r="H82" s="16"/>
      <c r="I82" s="33">
        <f t="shared" si="16"/>
        <v>0</v>
      </c>
      <c r="J82" s="11">
        <v>4033141.99</v>
      </c>
      <c r="K82" s="16"/>
      <c r="L82" s="66">
        <f t="shared" si="17"/>
        <v>0</v>
      </c>
      <c r="M82" s="65">
        <v>4491697.34</v>
      </c>
      <c r="N82" s="16"/>
      <c r="O82" s="66">
        <f t="shared" si="18"/>
        <v>0</v>
      </c>
      <c r="P82" s="65">
        <v>4905178.24</v>
      </c>
      <c r="Q82" s="16"/>
      <c r="R82" s="66">
        <f t="shared" si="14"/>
        <v>0</v>
      </c>
      <c r="S82" s="65">
        <v>5433566.2300000004</v>
      </c>
      <c r="T82" s="16"/>
      <c r="U82" s="108">
        <f t="shared" si="15"/>
        <v>0</v>
      </c>
      <c r="V82" s="70">
        <v>6029295.4500000002</v>
      </c>
    </row>
    <row r="83" spans="1:22" outlineLevel="1" x14ac:dyDescent="0.2">
      <c r="A83" s="30"/>
      <c r="B83" s="16" t="s">
        <v>66</v>
      </c>
      <c r="C83" s="14" t="s">
        <v>1</v>
      </c>
      <c r="D83" s="10" t="s">
        <v>2</v>
      </c>
      <c r="E83" s="15"/>
      <c r="F83" s="15"/>
      <c r="G83" s="16">
        <f t="shared" si="13"/>
        <v>543.73790737151785</v>
      </c>
      <c r="H83" s="16">
        <v>82.526785714285708</v>
      </c>
      <c r="I83" s="33">
        <f t="shared" si="16"/>
        <v>2.0462157275619674E-3</v>
      </c>
      <c r="J83" s="11">
        <v>4033141.99</v>
      </c>
      <c r="K83" s="16">
        <v>95.01026785714285</v>
      </c>
      <c r="L83" s="66">
        <f t="shared" si="17"/>
        <v>2.1152419823803814E-3</v>
      </c>
      <c r="M83" s="65">
        <v>4491697.34</v>
      </c>
      <c r="N83" s="16">
        <v>106.44503303571427</v>
      </c>
      <c r="O83" s="66">
        <f t="shared" si="18"/>
        <v>2.1700543349820103E-3</v>
      </c>
      <c r="P83" s="65">
        <v>4905178.24</v>
      </c>
      <c r="Q83" s="16">
        <v>123.28088975892857</v>
      </c>
      <c r="R83" s="66">
        <f t="shared" si="14"/>
        <v>2.2688761770909443E-3</v>
      </c>
      <c r="S83" s="65">
        <v>5433566.2300000004</v>
      </c>
      <c r="T83" s="16">
        <v>136.47493100544645</v>
      </c>
      <c r="U83" s="108">
        <f t="shared" si="15"/>
        <v>2.2635303268385438E-3</v>
      </c>
      <c r="V83" s="70">
        <v>6029295.4500000002</v>
      </c>
    </row>
    <row r="84" spans="1:22" outlineLevel="1" x14ac:dyDescent="0.2">
      <c r="A84" s="30"/>
      <c r="B84" s="16" t="s">
        <v>67</v>
      </c>
      <c r="C84" s="14" t="s">
        <v>1</v>
      </c>
      <c r="D84" s="10" t="s">
        <v>2</v>
      </c>
      <c r="E84" s="15">
        <v>17.856999999999999</v>
      </c>
      <c r="F84" s="15">
        <f>17.857+21.155</f>
        <v>39.012</v>
      </c>
      <c r="G84" s="16">
        <f t="shared" si="13"/>
        <v>0</v>
      </c>
      <c r="H84" s="16"/>
      <c r="I84" s="33">
        <f t="shared" si="16"/>
        <v>0</v>
      </c>
      <c r="J84" s="11">
        <v>4033141.99</v>
      </c>
      <c r="K84" s="16"/>
      <c r="L84" s="66">
        <f t="shared" si="17"/>
        <v>0</v>
      </c>
      <c r="M84" s="65">
        <v>4491697.34</v>
      </c>
      <c r="N84" s="16"/>
      <c r="O84" s="66">
        <f t="shared" si="18"/>
        <v>0</v>
      </c>
      <c r="P84" s="65">
        <v>4905178.24</v>
      </c>
      <c r="Q84" s="16"/>
      <c r="R84" s="66">
        <f t="shared" si="14"/>
        <v>0</v>
      </c>
      <c r="S84" s="65">
        <v>5433566.2300000004</v>
      </c>
      <c r="T84" s="16"/>
      <c r="U84" s="108">
        <f t="shared" si="15"/>
        <v>0</v>
      </c>
      <c r="V84" s="70">
        <v>6029295.4500000002</v>
      </c>
    </row>
    <row r="85" spans="1:22" s="67" customFormat="1" collapsed="1" x14ac:dyDescent="0.2">
      <c r="A85" s="61" t="s">
        <v>68</v>
      </c>
      <c r="B85" s="68" t="s">
        <v>69</v>
      </c>
      <c r="C85" s="69" t="s">
        <v>1</v>
      </c>
      <c r="D85" s="64" t="s">
        <v>2</v>
      </c>
      <c r="E85" s="70">
        <f t="shared" ref="E85:T85" si="19">E86+E112+E120</f>
        <v>282751.91499999998</v>
      </c>
      <c r="F85" s="70">
        <f t="shared" si="19"/>
        <v>274269.908</v>
      </c>
      <c r="G85" s="70">
        <f t="shared" si="19"/>
        <v>2424221.2566424012</v>
      </c>
      <c r="H85" s="70">
        <f t="shared" si="19"/>
        <v>432090.948341312</v>
      </c>
      <c r="I85" s="66">
        <f t="shared" si="16"/>
        <v>10.713506973289377</v>
      </c>
      <c r="J85" s="65">
        <v>4033141.99</v>
      </c>
      <c r="K85" s="70">
        <f t="shared" si="19"/>
        <v>476829.04499701946</v>
      </c>
      <c r="L85" s="66">
        <f t="shared" si="17"/>
        <v>10.615787505331326</v>
      </c>
      <c r="M85" s="65">
        <v>4491697.34</v>
      </c>
      <c r="N85" s="70">
        <f t="shared" si="19"/>
        <v>475365.14964083506</v>
      </c>
      <c r="O85" s="66">
        <f t="shared" si="18"/>
        <v>9.6910882007181662</v>
      </c>
      <c r="P85" s="65">
        <v>4905178.24</v>
      </c>
      <c r="Q85" s="70">
        <f t="shared" si="19"/>
        <v>501020.61030292511</v>
      </c>
      <c r="R85" s="66">
        <f t="shared" si="14"/>
        <v>9.2208429803739609</v>
      </c>
      <c r="S85" s="65">
        <v>5433566.2300000004</v>
      </c>
      <c r="T85" s="70">
        <f t="shared" si="19"/>
        <v>538915.50336030964</v>
      </c>
      <c r="U85" s="108">
        <f t="shared" si="15"/>
        <v>8.9382832178228977</v>
      </c>
      <c r="V85" s="70">
        <v>6029295.4500000002</v>
      </c>
    </row>
    <row r="86" spans="1:22" s="2" customFormat="1" ht="31.5" x14ac:dyDescent="0.2">
      <c r="A86" s="7" t="s">
        <v>192</v>
      </c>
      <c r="B86" s="26" t="s">
        <v>70</v>
      </c>
      <c r="C86" s="14" t="s">
        <v>1</v>
      </c>
      <c r="D86" s="10" t="s">
        <v>2</v>
      </c>
      <c r="E86" s="21">
        <f t="shared" ref="E86:T86" si="20">E87+E88+E89+E98</f>
        <v>132091.18599999999</v>
      </c>
      <c r="F86" s="21">
        <f t="shared" si="20"/>
        <v>132157.022</v>
      </c>
      <c r="G86" s="21">
        <f t="shared" si="20"/>
        <v>2280735.9396294965</v>
      </c>
      <c r="H86" s="21">
        <f t="shared" si="20"/>
        <v>357988.61160101451</v>
      </c>
      <c r="I86" s="33">
        <f t="shared" si="16"/>
        <v>8.8761717908427649</v>
      </c>
      <c r="J86" s="11">
        <v>4033141.99</v>
      </c>
      <c r="K86" s="21">
        <f t="shared" si="20"/>
        <v>441986.51527082967</v>
      </c>
      <c r="L86" s="107">
        <f t="shared" si="17"/>
        <v>9.8400778550860615</v>
      </c>
      <c r="M86" s="65">
        <v>4491697.34</v>
      </c>
      <c r="N86" s="21">
        <f t="shared" si="20"/>
        <v>464533.68440998346</v>
      </c>
      <c r="O86" s="107">
        <f t="shared" si="18"/>
        <v>9.4702712456374147</v>
      </c>
      <c r="P86" s="65">
        <v>4905178.24</v>
      </c>
      <c r="Q86" s="21">
        <f t="shared" si="20"/>
        <v>489559.55181707913</v>
      </c>
      <c r="R86" s="107">
        <f t="shared" si="14"/>
        <v>9.0099122950614898</v>
      </c>
      <c r="S86" s="65">
        <v>5433566.2300000004</v>
      </c>
      <c r="T86" s="21">
        <f t="shared" si="20"/>
        <v>526667.57653059007</v>
      </c>
      <c r="U86" s="109">
        <f t="shared" si="15"/>
        <v>8.7351429515796912</v>
      </c>
      <c r="V86" s="70">
        <v>6029295.4500000002</v>
      </c>
    </row>
    <row r="87" spans="1:22" s="23" customFormat="1" ht="31.5" x14ac:dyDescent="0.2">
      <c r="A87" s="5" t="s">
        <v>71</v>
      </c>
      <c r="B87" s="13" t="s">
        <v>72</v>
      </c>
      <c r="C87" s="14" t="s">
        <v>1</v>
      </c>
      <c r="D87" s="10" t="s">
        <v>2</v>
      </c>
      <c r="E87" s="15">
        <v>85954.633000000002</v>
      </c>
      <c r="F87" s="15">
        <v>87669.490999999995</v>
      </c>
      <c r="G87" s="16">
        <f>H87+K87+N87+Q87+T87</f>
        <v>1452906.7864238727</v>
      </c>
      <c r="H87" s="16">
        <v>240602.40027359998</v>
      </c>
      <c r="I87" s="33">
        <f t="shared" si="16"/>
        <v>5.9656317796438394</v>
      </c>
      <c r="J87" s="11">
        <v>4033141.99</v>
      </c>
      <c r="K87" s="16">
        <v>262665.43409448001</v>
      </c>
      <c r="L87" s="107">
        <f t="shared" si="17"/>
        <v>5.8477990437013734</v>
      </c>
      <c r="M87" s="65">
        <v>4491697.34</v>
      </c>
      <c r="N87" s="16">
        <v>288756.18585153797</v>
      </c>
      <c r="O87" s="107">
        <f t="shared" si="18"/>
        <v>5.8867623503837851</v>
      </c>
      <c r="P87" s="65">
        <v>4905178.24</v>
      </c>
      <c r="Q87" s="16">
        <v>315958.53363750578</v>
      </c>
      <c r="R87" s="107">
        <f t="shared" si="14"/>
        <v>5.8149384817106711</v>
      </c>
      <c r="S87" s="65">
        <v>5433566.2300000004</v>
      </c>
      <c r="T87" s="16">
        <v>344924.23256674898</v>
      </c>
      <c r="U87" s="109">
        <f t="shared" si="15"/>
        <v>5.7208049502160154</v>
      </c>
      <c r="V87" s="70">
        <v>6029295.4500000002</v>
      </c>
    </row>
    <row r="88" spans="1:22" s="23" customFormat="1" x14ac:dyDescent="0.2">
      <c r="A88" s="5" t="s">
        <v>73</v>
      </c>
      <c r="B88" s="13" t="s">
        <v>22</v>
      </c>
      <c r="C88" s="14" t="s">
        <v>1</v>
      </c>
      <c r="D88" s="10" t="s">
        <v>2</v>
      </c>
      <c r="E88" s="15">
        <v>8598.3889999999992</v>
      </c>
      <c r="F88" s="15">
        <v>8767.0419999999995</v>
      </c>
      <c r="G88" s="16">
        <f>H88+K88+N88+Q88+T88</f>
        <v>143837.77185596339</v>
      </c>
      <c r="H88" s="16">
        <v>23819.637627086398</v>
      </c>
      <c r="I88" s="33">
        <f t="shared" si="16"/>
        <v>0.59059754618474014</v>
      </c>
      <c r="J88" s="11">
        <v>4033141.99</v>
      </c>
      <c r="K88" s="16">
        <v>26003.87797535352</v>
      </c>
      <c r="L88" s="107">
        <f t="shared" si="17"/>
        <v>0.57893210532643591</v>
      </c>
      <c r="M88" s="65">
        <v>4491697.34</v>
      </c>
      <c r="N88" s="16">
        <v>28586.862399302259</v>
      </c>
      <c r="O88" s="107">
        <f t="shared" si="18"/>
        <v>0.58278947268799475</v>
      </c>
      <c r="P88" s="65">
        <v>4905178.24</v>
      </c>
      <c r="Q88" s="16">
        <v>31279.894830113073</v>
      </c>
      <c r="R88" s="107">
        <f t="shared" si="14"/>
        <v>0.57567890968935642</v>
      </c>
      <c r="S88" s="65">
        <v>5433566.2300000004</v>
      </c>
      <c r="T88" s="16">
        <v>34147.499024108147</v>
      </c>
      <c r="U88" s="109">
        <f t="shared" si="15"/>
        <v>0.56635969007138554</v>
      </c>
      <c r="V88" s="70">
        <v>6029295.4500000002</v>
      </c>
    </row>
    <row r="89" spans="1:22" x14ac:dyDescent="0.2">
      <c r="A89" s="5" t="s">
        <v>74</v>
      </c>
      <c r="B89" s="16" t="s">
        <v>75</v>
      </c>
      <c r="C89" s="14" t="s">
        <v>1</v>
      </c>
      <c r="D89" s="10" t="s">
        <v>2</v>
      </c>
      <c r="E89" s="17">
        <f>E91+E92+E96+E97+E95</f>
        <v>10792.289000000001</v>
      </c>
      <c r="F89" s="17">
        <f t="shared" ref="F89:T89" si="21">F91+F92+F96+F97+F95</f>
        <v>10987.606</v>
      </c>
      <c r="G89" s="17">
        <f t="shared" si="21"/>
        <v>286049.86503193877</v>
      </c>
      <c r="H89" s="17">
        <f t="shared" si="21"/>
        <v>13214.012816485501</v>
      </c>
      <c r="I89" s="33">
        <f t="shared" si="16"/>
        <v>0.3276356956747139</v>
      </c>
      <c r="J89" s="11">
        <v>4033141.99</v>
      </c>
      <c r="K89" s="17">
        <f t="shared" si="21"/>
        <v>80246.772357084497</v>
      </c>
      <c r="L89" s="107">
        <f t="shared" si="17"/>
        <v>1.7865578707287635</v>
      </c>
      <c r="M89" s="65">
        <v>4491697.34</v>
      </c>
      <c r="N89" s="17">
        <f t="shared" si="21"/>
        <v>71118.683919557749</v>
      </c>
      <c r="O89" s="107">
        <f t="shared" si="18"/>
        <v>1.4498695142127547</v>
      </c>
      <c r="P89" s="65">
        <v>4905178.24</v>
      </c>
      <c r="Q89" s="17">
        <f t="shared" si="21"/>
        <v>61874.782349803812</v>
      </c>
      <c r="R89" s="107">
        <f t="shared" si="14"/>
        <v>1.138750863257699</v>
      </c>
      <c r="S89" s="65">
        <v>5433566.2300000004</v>
      </c>
      <c r="T89" s="17">
        <f t="shared" si="21"/>
        <v>59595.613589007211</v>
      </c>
      <c r="U89" s="109">
        <f t="shared" si="15"/>
        <v>0.98843412274658404</v>
      </c>
      <c r="V89" s="70">
        <v>6029295.4500000002</v>
      </c>
    </row>
    <row r="90" spans="1:22" outlineLevel="1" x14ac:dyDescent="0.2">
      <c r="A90" s="5"/>
      <c r="B90" s="16" t="s">
        <v>194</v>
      </c>
      <c r="C90" s="14" t="s">
        <v>1</v>
      </c>
      <c r="D90" s="10" t="s">
        <v>2</v>
      </c>
      <c r="E90" s="16"/>
      <c r="F90" s="16"/>
      <c r="G90" s="16">
        <f>H90+K90+N90+Q90+T90</f>
        <v>0</v>
      </c>
      <c r="H90" s="16"/>
      <c r="I90" s="33">
        <f t="shared" si="16"/>
        <v>0</v>
      </c>
      <c r="J90" s="11">
        <v>4033141.99</v>
      </c>
      <c r="K90" s="16"/>
      <c r="L90" s="107">
        <f t="shared" si="17"/>
        <v>0</v>
      </c>
      <c r="M90" s="65">
        <v>4491697.34</v>
      </c>
      <c r="N90" s="16"/>
      <c r="O90" s="107">
        <f t="shared" si="18"/>
        <v>0</v>
      </c>
      <c r="P90" s="65">
        <v>4905178.24</v>
      </c>
      <c r="Q90" s="16"/>
      <c r="R90" s="107">
        <f t="shared" si="14"/>
        <v>0</v>
      </c>
      <c r="S90" s="65">
        <v>5433566.2300000004</v>
      </c>
      <c r="T90" s="16"/>
      <c r="U90" s="109">
        <f t="shared" si="15"/>
        <v>0</v>
      </c>
      <c r="V90" s="70">
        <v>6029295.4500000002</v>
      </c>
    </row>
    <row r="91" spans="1:22" outlineLevel="1" x14ac:dyDescent="0.2">
      <c r="A91" s="5"/>
      <c r="B91" s="16" t="s">
        <v>76</v>
      </c>
      <c r="C91" s="14" t="s">
        <v>1</v>
      </c>
      <c r="D91" s="10" t="s">
        <v>2</v>
      </c>
      <c r="E91" s="16">
        <v>2223.8310000000001</v>
      </c>
      <c r="F91" s="16">
        <v>2346.7199999999998</v>
      </c>
      <c r="G91" s="16">
        <f>H91+K91+N91+Q91+T91</f>
        <v>225684.35089914757</v>
      </c>
      <c r="H91" s="16">
        <v>2849.9539999999997</v>
      </c>
      <c r="I91" s="33">
        <f t="shared" si="16"/>
        <v>7.0663368834182783E-2</v>
      </c>
      <c r="J91" s="11">
        <v>4033141.99</v>
      </c>
      <c r="K91" s="16">
        <v>69132.160000000003</v>
      </c>
      <c r="L91" s="107">
        <f t="shared" si="17"/>
        <v>1.5391099347757926</v>
      </c>
      <c r="M91" s="65">
        <v>4491697.34</v>
      </c>
      <c r="N91" s="16">
        <v>59029.380000000005</v>
      </c>
      <c r="O91" s="107">
        <f t="shared" si="18"/>
        <v>1.2034094809977791</v>
      </c>
      <c r="P91" s="65">
        <v>4905178.24</v>
      </c>
      <c r="Q91" s="16">
        <v>48926.6</v>
      </c>
      <c r="R91" s="107">
        <f t="shared" si="14"/>
        <v>0.90045097324598156</v>
      </c>
      <c r="S91" s="65">
        <v>5433566.2300000004</v>
      </c>
      <c r="T91" s="16">
        <v>45746.256899147564</v>
      </c>
      <c r="U91" s="109">
        <f t="shared" si="15"/>
        <v>0.75873304399351604</v>
      </c>
      <c r="V91" s="70">
        <v>6029295.4500000002</v>
      </c>
    </row>
    <row r="92" spans="1:22" outlineLevel="1" x14ac:dyDescent="0.2">
      <c r="A92" s="5"/>
      <c r="B92" s="16" t="s">
        <v>77</v>
      </c>
      <c r="C92" s="14" t="s">
        <v>1</v>
      </c>
      <c r="D92" s="10" t="s">
        <v>2</v>
      </c>
      <c r="E92" s="17">
        <f>E93+E94</f>
        <v>2678.69</v>
      </c>
      <c r="F92" s="17">
        <f t="shared" ref="F92:T92" si="22">F93+F94</f>
        <v>2678.607</v>
      </c>
      <c r="G92" s="17">
        <f t="shared" si="22"/>
        <v>16478.397229393217</v>
      </c>
      <c r="H92" s="17">
        <f t="shared" si="22"/>
        <v>2865.4399375000003</v>
      </c>
      <c r="I92" s="33">
        <f t="shared" si="16"/>
        <v>7.1047335913407811E-2</v>
      </c>
      <c r="J92" s="11">
        <v>4033141.99</v>
      </c>
      <c r="K92" s="17">
        <f t="shared" si="22"/>
        <v>3066.0207331250003</v>
      </c>
      <c r="L92" s="107">
        <f t="shared" si="17"/>
        <v>6.8259735708840086E-2</v>
      </c>
      <c r="M92" s="65">
        <v>4491697.34</v>
      </c>
      <c r="N92" s="17">
        <f t="shared" si="22"/>
        <v>3280.6421844437509</v>
      </c>
      <c r="O92" s="107">
        <f t="shared" si="18"/>
        <v>6.6881202352470498E-2</v>
      </c>
      <c r="P92" s="65">
        <v>4905178.24</v>
      </c>
      <c r="Q92" s="17">
        <f t="shared" si="22"/>
        <v>3510.2871373548132</v>
      </c>
      <c r="R92" s="107">
        <f t="shared" si="14"/>
        <v>6.460374252868567E-2</v>
      </c>
      <c r="S92" s="65">
        <v>5433566.2300000004</v>
      </c>
      <c r="T92" s="17">
        <f t="shared" si="22"/>
        <v>3756.0072369696504</v>
      </c>
      <c r="U92" s="109">
        <f t="shared" si="15"/>
        <v>6.2295955939091527E-2</v>
      </c>
      <c r="V92" s="70">
        <v>6029295.4500000002</v>
      </c>
    </row>
    <row r="93" spans="1:22" outlineLevel="1" x14ac:dyDescent="0.2">
      <c r="B93" s="16" t="s">
        <v>78</v>
      </c>
      <c r="C93" s="14" t="s">
        <v>1</v>
      </c>
      <c r="D93" s="10" t="s">
        <v>2</v>
      </c>
      <c r="E93" s="15">
        <v>979.995</v>
      </c>
      <c r="F93" s="17">
        <v>975.59400000000005</v>
      </c>
      <c r="G93" s="16">
        <f>H93+K93+N93+Q93+T93</f>
        <v>6029.2665508531363</v>
      </c>
      <c r="H93" s="16">
        <v>1048.4333474999999</v>
      </c>
      <c r="I93" s="33">
        <f t="shared" si="16"/>
        <v>2.599544846423817E-2</v>
      </c>
      <c r="J93" s="11">
        <v>4033141.99</v>
      </c>
      <c r="K93" s="16">
        <v>1121.823681825</v>
      </c>
      <c r="L93" s="107">
        <f t="shared" si="17"/>
        <v>2.4975495829489703E-2</v>
      </c>
      <c r="M93" s="65">
        <v>4491697.34</v>
      </c>
      <c r="N93" s="16">
        <v>1200.35133955275</v>
      </c>
      <c r="O93" s="107">
        <f t="shared" si="18"/>
        <v>2.4471105448611585E-2</v>
      </c>
      <c r="P93" s="65">
        <v>4905178.24</v>
      </c>
      <c r="Q93" s="16">
        <v>1284.3759333214425</v>
      </c>
      <c r="R93" s="107">
        <f t="shared" si="14"/>
        <v>2.3637807637829095E-2</v>
      </c>
      <c r="S93" s="65">
        <v>5433566.2300000004</v>
      </c>
      <c r="T93" s="16">
        <v>1374.2822486539435</v>
      </c>
      <c r="U93" s="109">
        <f t="shared" si="15"/>
        <v>2.2793413592859236E-2</v>
      </c>
      <c r="V93" s="70">
        <v>6029295.4500000002</v>
      </c>
    </row>
    <row r="94" spans="1:22" ht="31.5" outlineLevel="1" x14ac:dyDescent="0.2">
      <c r="A94" s="5"/>
      <c r="B94" s="16" t="s">
        <v>79</v>
      </c>
      <c r="C94" s="14" t="s">
        <v>1</v>
      </c>
      <c r="D94" s="10" t="s">
        <v>2</v>
      </c>
      <c r="E94" s="15">
        <v>1698.6949999999999</v>
      </c>
      <c r="F94" s="15">
        <v>1703.0129999999999</v>
      </c>
      <c r="G94" s="16">
        <f>H94+K94+N94+Q94+T94</f>
        <v>10449.130678540079</v>
      </c>
      <c r="H94" s="16">
        <v>1817.0065900000002</v>
      </c>
      <c r="I94" s="33">
        <f t="shared" si="16"/>
        <v>4.5051887449169624E-2</v>
      </c>
      <c r="J94" s="11">
        <v>4033141.99</v>
      </c>
      <c r="K94" s="16">
        <v>1944.1970513000003</v>
      </c>
      <c r="L94" s="107">
        <f t="shared" si="17"/>
        <v>4.3284239879350379E-2</v>
      </c>
      <c r="M94" s="65">
        <v>4491697.34</v>
      </c>
      <c r="N94" s="16">
        <v>2080.2908448910007</v>
      </c>
      <c r="O94" s="107">
        <f t="shared" si="18"/>
        <v>4.2410096903858899E-2</v>
      </c>
      <c r="P94" s="65">
        <v>4905178.24</v>
      </c>
      <c r="Q94" s="16">
        <v>2225.9112040333707</v>
      </c>
      <c r="R94" s="107">
        <f t="shared" si="14"/>
        <v>4.0965934890856578E-2</v>
      </c>
      <c r="S94" s="65">
        <v>5433566.2300000004</v>
      </c>
      <c r="T94" s="16">
        <v>2381.7249883157069</v>
      </c>
      <c r="U94" s="109">
        <f t="shared" si="15"/>
        <v>3.9502542346232287E-2</v>
      </c>
      <c r="V94" s="70">
        <v>6029295.4500000002</v>
      </c>
    </row>
    <row r="95" spans="1:22" outlineLevel="1" x14ac:dyDescent="0.2">
      <c r="A95" s="5"/>
      <c r="B95" s="16" t="s">
        <v>80</v>
      </c>
      <c r="C95" s="14" t="s">
        <v>1</v>
      </c>
      <c r="D95" s="10" t="s">
        <v>2</v>
      </c>
      <c r="E95" s="15">
        <v>3727.2280000000001</v>
      </c>
      <c r="F95" s="15">
        <v>3792.556</v>
      </c>
      <c r="G95" s="16">
        <f>H95+K95+N95+Q95+T95</f>
        <v>28813.05</v>
      </c>
      <c r="H95" s="16">
        <v>5010.8625000000002</v>
      </c>
      <c r="I95" s="33">
        <f t="shared" si="16"/>
        <v>0.12424215443999281</v>
      </c>
      <c r="J95" s="11">
        <v>4033141.99</v>
      </c>
      <c r="K95" s="16">
        <v>5360.5124999999998</v>
      </c>
      <c r="L95" s="107">
        <f t="shared" si="17"/>
        <v>0.11934269150913004</v>
      </c>
      <c r="M95" s="65">
        <v>4491697.34</v>
      </c>
      <c r="N95" s="16">
        <v>5736.15</v>
      </c>
      <c r="O95" s="107">
        <f t="shared" si="18"/>
        <v>0.11694070468680869</v>
      </c>
      <c r="P95" s="65">
        <v>4905178.24</v>
      </c>
      <c r="Q95" s="16">
        <v>6137.7749999999996</v>
      </c>
      <c r="R95" s="107">
        <f t="shared" si="14"/>
        <v>0.11296034206985268</v>
      </c>
      <c r="S95" s="65">
        <v>5433566.2300000004</v>
      </c>
      <c r="T95" s="16">
        <v>6567.75</v>
      </c>
      <c r="U95" s="109">
        <f t="shared" si="15"/>
        <v>0.10893063799021492</v>
      </c>
      <c r="V95" s="70">
        <v>6029295.4500000002</v>
      </c>
    </row>
    <row r="96" spans="1:22" outlineLevel="1" x14ac:dyDescent="0.2">
      <c r="A96" s="5"/>
      <c r="B96" s="16" t="s">
        <v>81</v>
      </c>
      <c r="C96" s="14" t="s">
        <v>1</v>
      </c>
      <c r="D96" s="10" t="s">
        <v>2</v>
      </c>
      <c r="E96" s="16">
        <v>353.99799999999999</v>
      </c>
      <c r="F96" s="16">
        <v>361.18099999999998</v>
      </c>
      <c r="G96" s="16">
        <f>H96+K96+N96+Q96+T96</f>
        <v>3279.4669033979994</v>
      </c>
      <c r="H96" s="16">
        <v>570.33037898549992</v>
      </c>
      <c r="I96" s="33">
        <f t="shared" si="16"/>
        <v>1.4141093479962005E-2</v>
      </c>
      <c r="J96" s="11">
        <v>4033141.99</v>
      </c>
      <c r="K96" s="16">
        <v>610.12712395949995</v>
      </c>
      <c r="L96" s="107">
        <f t="shared" si="17"/>
        <v>1.3583442466751333E-2</v>
      </c>
      <c r="M96" s="65">
        <v>4491697.34</v>
      </c>
      <c r="N96" s="16">
        <v>652.88173511400009</v>
      </c>
      <c r="O96" s="107">
        <f t="shared" si="18"/>
        <v>1.3310051198343406E-2</v>
      </c>
      <c r="P96" s="65">
        <v>4905178.24</v>
      </c>
      <c r="Q96" s="16">
        <v>698.594212449</v>
      </c>
      <c r="R96" s="107">
        <f t="shared" si="14"/>
        <v>1.2857011084026114E-2</v>
      </c>
      <c r="S96" s="65">
        <v>5433566.2300000004</v>
      </c>
      <c r="T96" s="16">
        <v>747.53345288999992</v>
      </c>
      <c r="U96" s="109">
        <f t="shared" si="15"/>
        <v>1.2398354983416841E-2</v>
      </c>
      <c r="V96" s="70">
        <v>6029295.4500000002</v>
      </c>
    </row>
    <row r="97" spans="1:22" outlineLevel="1" x14ac:dyDescent="0.2">
      <c r="A97" s="5"/>
      <c r="B97" s="16" t="s">
        <v>82</v>
      </c>
      <c r="C97" s="14" t="s">
        <v>1</v>
      </c>
      <c r="D97" s="10" t="s">
        <v>2</v>
      </c>
      <c r="E97" s="15">
        <v>1808.5419999999999</v>
      </c>
      <c r="F97" s="15">
        <v>1808.5419999999999</v>
      </c>
      <c r="G97" s="16">
        <f>H97+K97+N97+Q97+T97</f>
        <v>11794.599999999999</v>
      </c>
      <c r="H97" s="16">
        <v>1917.4259999999999</v>
      </c>
      <c r="I97" s="33">
        <f t="shared" si="16"/>
        <v>4.7541743007168458E-2</v>
      </c>
      <c r="J97" s="11">
        <v>4033141.99</v>
      </c>
      <c r="K97" s="16">
        <v>2077.9520000000002</v>
      </c>
      <c r="L97" s="107">
        <f t="shared" si="17"/>
        <v>4.6262066268249503E-2</v>
      </c>
      <c r="M97" s="65">
        <v>4491697.34</v>
      </c>
      <c r="N97" s="16">
        <v>2419.63</v>
      </c>
      <c r="O97" s="107">
        <f t="shared" si="18"/>
        <v>4.9328074977352906E-2</v>
      </c>
      <c r="P97" s="65">
        <v>4905178.24</v>
      </c>
      <c r="Q97" s="16">
        <v>2601.5259999999998</v>
      </c>
      <c r="R97" s="107">
        <f t="shared" si="14"/>
        <v>4.7878794329152763E-2</v>
      </c>
      <c r="S97" s="65">
        <v>5433566.2300000004</v>
      </c>
      <c r="T97" s="16">
        <v>2778.0659999999998</v>
      </c>
      <c r="U97" s="109">
        <f t="shared" si="15"/>
        <v>4.6076129840344773E-2</v>
      </c>
      <c r="V97" s="70">
        <v>6029295.4500000002</v>
      </c>
    </row>
    <row r="98" spans="1:22" collapsed="1" x14ac:dyDescent="0.2">
      <c r="A98" s="5" t="s">
        <v>83</v>
      </c>
      <c r="B98" s="16" t="s">
        <v>84</v>
      </c>
      <c r="C98" s="14" t="s">
        <v>85</v>
      </c>
      <c r="D98" s="10" t="s">
        <v>2</v>
      </c>
      <c r="E98" s="16">
        <f t="shared" ref="E98:T98" si="23">E99+E102+E103+E104+E105+E106+E107+E108+E109+E110+E111</f>
        <v>26745.875</v>
      </c>
      <c r="F98" s="16">
        <f t="shared" si="23"/>
        <v>24732.883000000005</v>
      </c>
      <c r="G98" s="16">
        <f t="shared" si="23"/>
        <v>397941.51631772186</v>
      </c>
      <c r="H98" s="16">
        <f t="shared" si="23"/>
        <v>80352.560883842641</v>
      </c>
      <c r="I98" s="33">
        <f t="shared" si="16"/>
        <v>1.9923067693394705</v>
      </c>
      <c r="J98" s="11">
        <v>4033141.99</v>
      </c>
      <c r="K98" s="16">
        <f t="shared" si="23"/>
        <v>73070.430843911643</v>
      </c>
      <c r="L98" s="107">
        <f t="shared" si="17"/>
        <v>1.626788835329489</v>
      </c>
      <c r="M98" s="65">
        <v>4491697.34</v>
      </c>
      <c r="N98" s="16">
        <f t="shared" si="23"/>
        <v>76071.952239585444</v>
      </c>
      <c r="O98" s="107">
        <f t="shared" si="18"/>
        <v>1.5508499083528806</v>
      </c>
      <c r="P98" s="65">
        <v>4905178.24</v>
      </c>
      <c r="Q98" s="16">
        <f t="shared" si="23"/>
        <v>80446.34099965643</v>
      </c>
      <c r="R98" s="107">
        <f t="shared" si="14"/>
        <v>1.4805440404037631</v>
      </c>
      <c r="S98" s="65">
        <v>5433566.2300000004</v>
      </c>
      <c r="T98" s="16">
        <f t="shared" si="23"/>
        <v>88000.231350725706</v>
      </c>
      <c r="U98" s="109">
        <f t="shared" si="15"/>
        <v>1.4595441885457063</v>
      </c>
      <c r="V98" s="70">
        <v>6029295.4500000002</v>
      </c>
    </row>
    <row r="99" spans="1:22" x14ac:dyDescent="0.2">
      <c r="A99" s="5" t="s">
        <v>86</v>
      </c>
      <c r="B99" s="16" t="s">
        <v>87</v>
      </c>
      <c r="C99" s="14" t="s">
        <v>1</v>
      </c>
      <c r="D99" s="10" t="s">
        <v>2</v>
      </c>
      <c r="E99" s="17">
        <f>E100+E101</f>
        <v>14767.933999999999</v>
      </c>
      <c r="F99" s="17">
        <f>F100+F101</f>
        <v>15274.845000000001</v>
      </c>
      <c r="G99" s="16">
        <f t="shared" ref="G99:G120" si="24">H99+K99+N99+Q99+T99</f>
        <v>52575.025848593301</v>
      </c>
      <c r="H99" s="16">
        <v>10683.089739999998</v>
      </c>
      <c r="I99" s="33">
        <f t="shared" si="16"/>
        <v>0.26488255971369851</v>
      </c>
      <c r="J99" s="11">
        <v>4033141.99</v>
      </c>
      <c r="K99" s="16">
        <v>10355.713619999995</v>
      </c>
      <c r="L99" s="107">
        <f t="shared" si="17"/>
        <v>0.2305523466102459</v>
      </c>
      <c r="M99" s="65">
        <v>4491697.34</v>
      </c>
      <c r="N99" s="16">
        <v>9818.1048099999934</v>
      </c>
      <c r="O99" s="107">
        <f t="shared" si="18"/>
        <v>0.20015796225174468</v>
      </c>
      <c r="P99" s="65">
        <v>4905178.24</v>
      </c>
      <c r="Q99" s="16">
        <v>9560.3242499999978</v>
      </c>
      <c r="R99" s="107">
        <f t="shared" si="14"/>
        <v>0.17594934607063761</v>
      </c>
      <c r="S99" s="65">
        <v>5433566.2300000004</v>
      </c>
      <c r="T99" s="16">
        <v>12157.793428593319</v>
      </c>
      <c r="U99" s="109">
        <f t="shared" si="15"/>
        <v>0.20164534197098133</v>
      </c>
      <c r="V99" s="70">
        <v>6029295.4500000002</v>
      </c>
    </row>
    <row r="100" spans="1:22" outlineLevel="1" x14ac:dyDescent="0.2">
      <c r="A100" s="5"/>
      <c r="B100" s="16" t="s">
        <v>27</v>
      </c>
      <c r="C100" s="14" t="s">
        <v>1</v>
      </c>
      <c r="D100" s="10" t="s">
        <v>2</v>
      </c>
      <c r="E100" s="15">
        <v>764.39800000000002</v>
      </c>
      <c r="F100" s="15">
        <v>764.39700000000005</v>
      </c>
      <c r="G100" s="16">
        <f t="shared" si="24"/>
        <v>0</v>
      </c>
      <c r="H100" s="16"/>
      <c r="I100" s="33">
        <f t="shared" si="16"/>
        <v>0</v>
      </c>
      <c r="J100" s="11">
        <v>4033141.99</v>
      </c>
      <c r="K100" s="16"/>
      <c r="L100" s="107">
        <f t="shared" si="17"/>
        <v>0</v>
      </c>
      <c r="M100" s="65">
        <v>4491697.34</v>
      </c>
      <c r="N100" s="16"/>
      <c r="O100" s="107">
        <f t="shared" si="18"/>
        <v>0</v>
      </c>
      <c r="P100" s="65">
        <v>4905178.24</v>
      </c>
      <c r="Q100" s="16"/>
      <c r="R100" s="107">
        <f t="shared" si="14"/>
        <v>0</v>
      </c>
      <c r="S100" s="65">
        <v>5433566.2300000004</v>
      </c>
      <c r="T100" s="16"/>
      <c r="U100" s="109">
        <f t="shared" si="15"/>
        <v>0</v>
      </c>
      <c r="V100" s="70">
        <v>6029295.4500000002</v>
      </c>
    </row>
    <row r="101" spans="1:22" ht="21" customHeight="1" outlineLevel="1" x14ac:dyDescent="0.2">
      <c r="A101" s="5"/>
      <c r="B101" s="16" t="s">
        <v>28</v>
      </c>
      <c r="C101" s="14" t="s">
        <v>1</v>
      </c>
      <c r="D101" s="10" t="s">
        <v>2</v>
      </c>
      <c r="E101" s="15">
        <v>14003.536</v>
      </c>
      <c r="F101" s="15">
        <v>14510.448</v>
      </c>
      <c r="G101" s="16">
        <f t="shared" si="24"/>
        <v>0</v>
      </c>
      <c r="H101" s="16"/>
      <c r="I101" s="33">
        <f t="shared" si="16"/>
        <v>0</v>
      </c>
      <c r="J101" s="11">
        <v>4033141.99</v>
      </c>
      <c r="K101" s="16"/>
      <c r="L101" s="107">
        <f t="shared" si="17"/>
        <v>0</v>
      </c>
      <c r="M101" s="65">
        <v>4491697.34</v>
      </c>
      <c r="N101" s="16"/>
      <c r="O101" s="107">
        <f t="shared" si="18"/>
        <v>0</v>
      </c>
      <c r="P101" s="65">
        <v>4905178.24</v>
      </c>
      <c r="Q101" s="16"/>
      <c r="R101" s="107">
        <f t="shared" si="14"/>
        <v>0</v>
      </c>
      <c r="S101" s="65">
        <v>5433566.2300000004</v>
      </c>
      <c r="T101" s="16"/>
      <c r="U101" s="109">
        <f t="shared" si="15"/>
        <v>0</v>
      </c>
      <c r="V101" s="70">
        <v>6029295.4500000002</v>
      </c>
    </row>
    <row r="102" spans="1:22" collapsed="1" x14ac:dyDescent="0.2">
      <c r="A102" s="5" t="s">
        <v>88</v>
      </c>
      <c r="B102" s="16" t="s">
        <v>89</v>
      </c>
      <c r="C102" s="14" t="s">
        <v>1</v>
      </c>
      <c r="D102" s="10" t="s">
        <v>2</v>
      </c>
      <c r="E102" s="15">
        <v>3879.0279999999998</v>
      </c>
      <c r="F102" s="15">
        <v>3854.1309999999999</v>
      </c>
      <c r="G102" s="16">
        <f t="shared" si="24"/>
        <v>51710.622224788363</v>
      </c>
      <c r="H102" s="16">
        <v>8991.9960086639985</v>
      </c>
      <c r="I102" s="33">
        <f t="shared" si="16"/>
        <v>0.22295262678475644</v>
      </c>
      <c r="J102" s="11">
        <v>4033141.99</v>
      </c>
      <c r="K102" s="16">
        <v>9621.435729270479</v>
      </c>
      <c r="L102" s="107">
        <f t="shared" si="17"/>
        <v>0.21420489852663313</v>
      </c>
      <c r="M102" s="65">
        <v>4491697.34</v>
      </c>
      <c r="N102" s="16">
        <v>10294.936230319414</v>
      </c>
      <c r="O102" s="107">
        <f t="shared" si="18"/>
        <v>0.2098789427541661</v>
      </c>
      <c r="P102" s="65">
        <v>4905178.24</v>
      </c>
      <c r="Q102" s="16">
        <v>11015.581766441774</v>
      </c>
      <c r="R102" s="107">
        <f t="shared" si="14"/>
        <v>0.20273207871511989</v>
      </c>
      <c r="S102" s="65">
        <v>5433566.2300000004</v>
      </c>
      <c r="T102" s="16">
        <v>11786.672490092698</v>
      </c>
      <c r="U102" s="109">
        <f t="shared" si="15"/>
        <v>0.19549004668684297</v>
      </c>
      <c r="V102" s="70">
        <v>6029295.4500000002</v>
      </c>
    </row>
    <row r="103" spans="1:22" ht="31.5" x14ac:dyDescent="0.2">
      <c r="A103" s="5" t="s">
        <v>90</v>
      </c>
      <c r="B103" s="13" t="s">
        <v>91</v>
      </c>
      <c r="C103" s="14" t="s">
        <v>1</v>
      </c>
      <c r="D103" s="10" t="s">
        <v>2</v>
      </c>
      <c r="E103" s="15">
        <v>2416.06</v>
      </c>
      <c r="F103" s="15">
        <v>2023.72</v>
      </c>
      <c r="G103" s="16">
        <f t="shared" si="24"/>
        <v>18235.716630831641</v>
      </c>
      <c r="H103" s="16">
        <v>3171.0214285714283</v>
      </c>
      <c r="I103" s="33">
        <f t="shared" si="16"/>
        <v>7.8624095963738386E-2</v>
      </c>
      <c r="J103" s="11">
        <v>4033141.99</v>
      </c>
      <c r="K103" s="16">
        <v>3392.9929285714284</v>
      </c>
      <c r="L103" s="107">
        <f t="shared" si="17"/>
        <v>7.5539215395386106E-2</v>
      </c>
      <c r="M103" s="65">
        <v>4491697.34</v>
      </c>
      <c r="N103" s="16">
        <v>3630.5024335714284</v>
      </c>
      <c r="O103" s="107">
        <f t="shared" si="18"/>
        <v>7.4013669961388154E-2</v>
      </c>
      <c r="P103" s="65">
        <v>4905178.24</v>
      </c>
      <c r="Q103" s="16">
        <v>3884.6376039214288</v>
      </c>
      <c r="R103" s="107">
        <f t="shared" si="14"/>
        <v>7.149333309813044E-2</v>
      </c>
      <c r="S103" s="65">
        <v>5433566.2300000004</v>
      </c>
      <c r="T103" s="16">
        <v>4156.5622361959295</v>
      </c>
      <c r="U103" s="109">
        <f t="shared" si="15"/>
        <v>6.893943530659008E-2</v>
      </c>
      <c r="V103" s="70">
        <v>6029295.4500000002</v>
      </c>
    </row>
    <row r="104" spans="1:22" x14ac:dyDescent="0.2">
      <c r="A104" s="5" t="s">
        <v>92</v>
      </c>
      <c r="B104" s="16" t="s">
        <v>204</v>
      </c>
      <c r="C104" s="14" t="s">
        <v>1</v>
      </c>
      <c r="D104" s="10" t="s">
        <v>2</v>
      </c>
      <c r="E104" s="15">
        <v>1123.5160000000001</v>
      </c>
      <c r="F104" s="15">
        <v>1346.9849999999999</v>
      </c>
      <c r="G104" s="16">
        <f t="shared" si="24"/>
        <v>8051.0843681616207</v>
      </c>
      <c r="H104" s="16">
        <v>1400.0086517857155</v>
      </c>
      <c r="I104" s="33">
        <f t="shared" si="16"/>
        <v>3.4712605091935168E-2</v>
      </c>
      <c r="J104" s="11">
        <v>4033141.99</v>
      </c>
      <c r="K104" s="16">
        <v>1498.0092574107157</v>
      </c>
      <c r="L104" s="107">
        <f t="shared" si="17"/>
        <v>3.3350627703039218E-2</v>
      </c>
      <c r="M104" s="65">
        <v>4491697.34</v>
      </c>
      <c r="N104" s="16">
        <v>1602.8699054294659</v>
      </c>
      <c r="O104" s="107">
        <f t="shared" si="18"/>
        <v>3.2677098099282646E-2</v>
      </c>
      <c r="P104" s="65">
        <v>4905178.24</v>
      </c>
      <c r="Q104" s="16">
        <v>1715.0707988095287</v>
      </c>
      <c r="R104" s="107">
        <f t="shared" si="14"/>
        <v>3.1564367235283122E-2</v>
      </c>
      <c r="S104" s="65">
        <v>5433566.2300000004</v>
      </c>
      <c r="T104" s="16">
        <v>1835.1257547261957</v>
      </c>
      <c r="U104" s="109">
        <f t="shared" si="15"/>
        <v>3.0436819192965502E-2</v>
      </c>
      <c r="V104" s="70">
        <v>6029295.4500000002</v>
      </c>
    </row>
    <row r="105" spans="1:22" x14ac:dyDescent="0.2">
      <c r="A105" s="5" t="s">
        <v>93</v>
      </c>
      <c r="B105" s="16" t="s">
        <v>206</v>
      </c>
      <c r="C105" s="14" t="s">
        <v>1</v>
      </c>
      <c r="D105" s="10" t="s">
        <v>2</v>
      </c>
      <c r="E105" s="15">
        <v>0.32100000000000001</v>
      </c>
      <c r="F105" s="15"/>
      <c r="G105" s="16">
        <f t="shared" si="24"/>
        <v>0</v>
      </c>
      <c r="H105" s="16"/>
      <c r="I105" s="33">
        <f t="shared" si="16"/>
        <v>0</v>
      </c>
      <c r="J105" s="11">
        <v>4033141.99</v>
      </c>
      <c r="K105" s="16"/>
      <c r="L105" s="107">
        <f t="shared" si="17"/>
        <v>0</v>
      </c>
      <c r="M105" s="65">
        <v>4491697.34</v>
      </c>
      <c r="N105" s="16"/>
      <c r="O105" s="107">
        <f t="shared" si="18"/>
        <v>0</v>
      </c>
      <c r="P105" s="65">
        <v>4905178.24</v>
      </c>
      <c r="Q105" s="16"/>
      <c r="R105" s="107">
        <f t="shared" si="14"/>
        <v>0</v>
      </c>
      <c r="S105" s="65">
        <v>5433566.2300000004</v>
      </c>
      <c r="T105" s="16"/>
      <c r="U105" s="109">
        <f t="shared" si="15"/>
        <v>0</v>
      </c>
      <c r="V105" s="70">
        <v>6029295.4500000002</v>
      </c>
    </row>
    <row r="106" spans="1:22" x14ac:dyDescent="0.2">
      <c r="A106" s="5" t="s">
        <v>94</v>
      </c>
      <c r="B106" s="16" t="s">
        <v>43</v>
      </c>
      <c r="C106" s="14" t="s">
        <v>1</v>
      </c>
      <c r="D106" s="10" t="s">
        <v>2</v>
      </c>
      <c r="E106" s="15">
        <v>230</v>
      </c>
      <c r="F106" s="15"/>
      <c r="G106" s="16">
        <f t="shared" si="24"/>
        <v>221.51846666520004</v>
      </c>
      <c r="H106" s="16">
        <v>38.520000000000003</v>
      </c>
      <c r="I106" s="33">
        <f t="shared" si="16"/>
        <v>9.5508663209747306E-4</v>
      </c>
      <c r="J106" s="11">
        <v>4033141.99</v>
      </c>
      <c r="K106" s="16">
        <v>41.216400000000007</v>
      </c>
      <c r="L106" s="107">
        <f t="shared" si="17"/>
        <v>9.1761302866412659E-4</v>
      </c>
      <c r="M106" s="65">
        <v>4491697.34</v>
      </c>
      <c r="N106" s="16">
        <v>44.101548000000008</v>
      </c>
      <c r="O106" s="107">
        <f t="shared" si="18"/>
        <v>8.9908145723161339E-4</v>
      </c>
      <c r="P106" s="65">
        <v>4905178.24</v>
      </c>
      <c r="Q106" s="16">
        <v>47.18865636000001</v>
      </c>
      <c r="R106" s="107">
        <f t="shared" si="14"/>
        <v>8.6846565151741978E-4</v>
      </c>
      <c r="S106" s="65">
        <v>5433566.2300000004</v>
      </c>
      <c r="T106" s="16">
        <v>50.491862305200016</v>
      </c>
      <c r="U106" s="109">
        <f t="shared" si="15"/>
        <v>8.3744216424491214E-4</v>
      </c>
      <c r="V106" s="70">
        <v>6029295.4500000002</v>
      </c>
    </row>
    <row r="107" spans="1:22" x14ac:dyDescent="0.2">
      <c r="A107" s="5" t="s">
        <v>95</v>
      </c>
      <c r="B107" s="16" t="s">
        <v>219</v>
      </c>
      <c r="C107" s="14" t="s">
        <v>1</v>
      </c>
      <c r="D107" s="10" t="s">
        <v>2</v>
      </c>
      <c r="E107" s="15"/>
      <c r="F107" s="15"/>
      <c r="G107" s="16">
        <f t="shared" si="24"/>
        <v>9609.67</v>
      </c>
      <c r="H107" s="16">
        <v>9609.67</v>
      </c>
      <c r="I107" s="33">
        <f t="shared" si="16"/>
        <v>0.23826758452409458</v>
      </c>
      <c r="J107" s="11">
        <v>4033141.99</v>
      </c>
      <c r="K107" s="16"/>
      <c r="L107" s="107">
        <f t="shared" si="17"/>
        <v>0</v>
      </c>
      <c r="M107" s="65">
        <v>4491697.34</v>
      </c>
      <c r="N107" s="16"/>
      <c r="O107" s="107">
        <f t="shared" si="18"/>
        <v>0</v>
      </c>
      <c r="P107" s="65">
        <v>4905178.24</v>
      </c>
      <c r="Q107" s="16"/>
      <c r="R107" s="107">
        <f t="shared" ref="R107:R121" si="25">Q107/S107*100</f>
        <v>0</v>
      </c>
      <c r="S107" s="65">
        <v>5433566.2300000004</v>
      </c>
      <c r="T107" s="16"/>
      <c r="U107" s="109">
        <f t="shared" ref="U107:U122" si="26">T107/V107*100</f>
        <v>0</v>
      </c>
      <c r="V107" s="70">
        <v>6029295.4500000002</v>
      </c>
    </row>
    <row r="108" spans="1:22" x14ac:dyDescent="0.2">
      <c r="A108" s="5" t="s">
        <v>220</v>
      </c>
      <c r="B108" s="16" t="s">
        <v>221</v>
      </c>
      <c r="C108" s="14" t="s">
        <v>1</v>
      </c>
      <c r="D108" s="10" t="s">
        <v>2</v>
      </c>
      <c r="E108" s="15">
        <v>950</v>
      </c>
      <c r="F108" s="15">
        <v>820</v>
      </c>
      <c r="G108" s="16">
        <f t="shared" si="24"/>
        <v>3371</v>
      </c>
      <c r="H108" s="16">
        <v>2261</v>
      </c>
      <c r="I108" s="33">
        <f t="shared" si="16"/>
        <v>5.6060510778099329E-2</v>
      </c>
      <c r="J108" s="11">
        <v>4033141.99</v>
      </c>
      <c r="K108" s="16">
        <v>870</v>
      </c>
      <c r="L108" s="107">
        <f t="shared" si="17"/>
        <v>1.9369069956080346E-2</v>
      </c>
      <c r="M108" s="65">
        <v>4491697.34</v>
      </c>
      <c r="N108" s="16">
        <v>80</v>
      </c>
      <c r="O108" s="107">
        <f t="shared" si="18"/>
        <v>1.6309295215335537E-3</v>
      </c>
      <c r="P108" s="65">
        <v>4905178.24</v>
      </c>
      <c r="Q108" s="16">
        <v>80</v>
      </c>
      <c r="R108" s="107">
        <f t="shared" si="25"/>
        <v>1.4723295274897202E-3</v>
      </c>
      <c r="S108" s="65">
        <v>5433566.2300000004</v>
      </c>
      <c r="T108" s="16">
        <v>80</v>
      </c>
      <c r="U108" s="109">
        <f t="shared" si="26"/>
        <v>1.3268548649411432E-3</v>
      </c>
      <c r="V108" s="70">
        <v>6029295.4500000002</v>
      </c>
    </row>
    <row r="109" spans="1:22" x14ac:dyDescent="0.2">
      <c r="A109" s="5" t="s">
        <v>222</v>
      </c>
      <c r="B109" s="16" t="s">
        <v>223</v>
      </c>
      <c r="C109" s="14" t="s">
        <v>1</v>
      </c>
      <c r="D109" s="10" t="s">
        <v>2</v>
      </c>
      <c r="E109" s="15">
        <f>18.52+84.418+387.068</f>
        <v>490.00599999999997</v>
      </c>
      <c r="F109" s="15">
        <f>139.418+351.214</f>
        <v>490.63200000000001</v>
      </c>
      <c r="G109" s="16">
        <f t="shared" si="24"/>
        <v>251770.39717776439</v>
      </c>
      <c r="H109" s="16">
        <v>43780.529205022009</v>
      </c>
      <c r="I109" s="33">
        <f t="shared" si="16"/>
        <v>1.08551916380762</v>
      </c>
      <c r="J109" s="11">
        <v>4033141.99</v>
      </c>
      <c r="K109" s="16">
        <f>H109*1.07</f>
        <v>46845.166249373549</v>
      </c>
      <c r="L109" s="107">
        <f t="shared" si="17"/>
        <v>1.042927933549805</v>
      </c>
      <c r="M109" s="65">
        <v>4491697.34</v>
      </c>
      <c r="N109" s="16">
        <f>K109*1.07</f>
        <v>50124.327886829698</v>
      </c>
      <c r="O109" s="107">
        <f t="shared" si="18"/>
        <v>1.0218655762207267</v>
      </c>
      <c r="P109" s="65">
        <v>4905178.24</v>
      </c>
      <c r="Q109" s="16">
        <f>N109*1.07</f>
        <v>53633.030838907784</v>
      </c>
      <c r="R109" s="107">
        <f t="shared" si="25"/>
        <v>0.98706868691113347</v>
      </c>
      <c r="S109" s="65">
        <v>5433566.2300000004</v>
      </c>
      <c r="T109" s="16">
        <f>Q109*1.07</f>
        <v>57387.342997631335</v>
      </c>
      <c r="U109" s="109">
        <f t="shared" si="26"/>
        <v>0.95180844053066493</v>
      </c>
      <c r="V109" s="70">
        <v>6029295.4500000002</v>
      </c>
    </row>
    <row r="110" spans="1:22" x14ac:dyDescent="0.2">
      <c r="A110" s="5" t="s">
        <v>224</v>
      </c>
      <c r="B110" s="13" t="s">
        <v>225</v>
      </c>
      <c r="C110" s="14" t="s">
        <v>1</v>
      </c>
      <c r="D110" s="10" t="s">
        <v>2</v>
      </c>
      <c r="E110" s="15">
        <v>278.91000000000003</v>
      </c>
      <c r="F110" s="15">
        <v>278.13200000000001</v>
      </c>
      <c r="G110" s="16">
        <f t="shared" si="24"/>
        <v>2396.4816009173783</v>
      </c>
      <c r="H110" s="16">
        <v>416.7258497994988</v>
      </c>
      <c r="I110" s="33">
        <f t="shared" si="16"/>
        <v>1.0332536043430963E-2</v>
      </c>
      <c r="J110" s="11">
        <v>4033141.99</v>
      </c>
      <c r="K110" s="16">
        <v>445.89665928546373</v>
      </c>
      <c r="L110" s="107">
        <f t="shared" si="17"/>
        <v>9.9271305596352524E-3</v>
      </c>
      <c r="M110" s="65">
        <v>4491697.34</v>
      </c>
      <c r="N110" s="16">
        <v>477.10942543544621</v>
      </c>
      <c r="O110" s="107">
        <f t="shared" si="18"/>
        <v>9.7266480868072637E-3</v>
      </c>
      <c r="P110" s="65">
        <v>4905178.24</v>
      </c>
      <c r="Q110" s="16">
        <v>510.50708521592748</v>
      </c>
      <c r="R110" s="107">
        <f t="shared" si="25"/>
        <v>9.3954331944515086E-3</v>
      </c>
      <c r="S110" s="65">
        <v>5433566.2300000004</v>
      </c>
      <c r="T110" s="16">
        <v>546.2425811810424</v>
      </c>
      <c r="U110" s="109">
        <f t="shared" si="26"/>
        <v>9.0598078284759177E-3</v>
      </c>
      <c r="V110" s="70">
        <v>6029295.4500000002</v>
      </c>
    </row>
    <row r="111" spans="1:22" x14ac:dyDescent="0.2">
      <c r="A111" s="5" t="s">
        <v>226</v>
      </c>
      <c r="B111" s="16" t="s">
        <v>67</v>
      </c>
      <c r="C111" s="14" t="s">
        <v>1</v>
      </c>
      <c r="D111" s="10" t="s">
        <v>2</v>
      </c>
      <c r="E111" s="32">
        <f>12.888+1577.563+869.649+150</f>
        <v>2610.1</v>
      </c>
      <c r="F111" s="32">
        <f>5.252+1.3+48.663+1.236+90+347.987+150</f>
        <v>644.43799999999999</v>
      </c>
      <c r="G111" s="16">
        <f t="shared" si="24"/>
        <v>0</v>
      </c>
      <c r="H111" s="16"/>
      <c r="I111" s="33">
        <f t="shared" si="16"/>
        <v>0</v>
      </c>
      <c r="J111" s="11">
        <v>4033141.99</v>
      </c>
      <c r="K111" s="16"/>
      <c r="L111" s="107">
        <f t="shared" si="17"/>
        <v>0</v>
      </c>
      <c r="M111" s="65">
        <v>4491697.34</v>
      </c>
      <c r="N111" s="16"/>
      <c r="O111" s="107">
        <f t="shared" si="18"/>
        <v>0</v>
      </c>
      <c r="P111" s="65">
        <v>4905178.24</v>
      </c>
      <c r="Q111" s="16"/>
      <c r="R111" s="107">
        <f t="shared" si="25"/>
        <v>0</v>
      </c>
      <c r="S111" s="65">
        <v>5433566.2300000004</v>
      </c>
      <c r="T111" s="16"/>
      <c r="U111" s="109">
        <f t="shared" si="26"/>
        <v>0</v>
      </c>
      <c r="V111" s="70">
        <v>6029295.4500000002</v>
      </c>
    </row>
    <row r="112" spans="1:22" x14ac:dyDescent="0.2">
      <c r="A112" s="5" t="s">
        <v>227</v>
      </c>
      <c r="B112" s="16" t="s">
        <v>96</v>
      </c>
      <c r="C112" s="14" t="s">
        <v>1</v>
      </c>
      <c r="D112" s="10" t="s">
        <v>2</v>
      </c>
      <c r="E112" s="15">
        <f>E113+E114+E115+E116+E117+E118+E119</f>
        <v>8482.1790000000001</v>
      </c>
      <c r="F112" s="15">
        <f>F113+F114+F115+F116+F117+F118+F119</f>
        <v>8555.8919999999998</v>
      </c>
      <c r="G112" s="16">
        <f t="shared" si="24"/>
        <v>53989.107132904501</v>
      </c>
      <c r="H112" s="15">
        <f>H113+H114+H115+H116+H117+H118+H119</f>
        <v>9512.700390297523</v>
      </c>
      <c r="I112" s="33">
        <f t="shared" si="16"/>
        <v>0.23586326526276163</v>
      </c>
      <c r="J112" s="11">
        <v>4033141.99</v>
      </c>
      <c r="K112" s="15">
        <f>K113+K114+K115+K116+K117+K118+K119</f>
        <v>10000.361816189779</v>
      </c>
      <c r="L112" s="107">
        <f t="shared" si="17"/>
        <v>0.22264104322286729</v>
      </c>
      <c r="M112" s="65">
        <v>4491697.34</v>
      </c>
      <c r="N112" s="15">
        <f>N113+N114+N115+N116+N117+N118+N119</f>
        <v>10767.059610851637</v>
      </c>
      <c r="O112" s="107">
        <f t="shared" si="18"/>
        <v>0.21950394224311892</v>
      </c>
      <c r="P112" s="65">
        <v>4905178.24</v>
      </c>
      <c r="Q112" s="15">
        <f>Q113+Q114+Q115+Q116+Q117+Q118+Q119</f>
        <v>11461.058485845964</v>
      </c>
      <c r="R112" s="107">
        <f t="shared" si="25"/>
        <v>0.21093068531247042</v>
      </c>
      <c r="S112" s="65">
        <v>5433566.2300000004</v>
      </c>
      <c r="T112" s="15">
        <f>T113+T114+T115+T116+T117+T118+T119</f>
        <v>12247.926829719594</v>
      </c>
      <c r="U112" s="109">
        <f t="shared" si="26"/>
        <v>0.20314026624320747</v>
      </c>
      <c r="V112" s="70">
        <v>6029295.4500000002</v>
      </c>
    </row>
    <row r="113" spans="1:22" x14ac:dyDescent="0.2">
      <c r="A113" s="5" t="s">
        <v>97</v>
      </c>
      <c r="B113" s="13" t="s">
        <v>98</v>
      </c>
      <c r="C113" s="14" t="s">
        <v>1</v>
      </c>
      <c r="D113" s="10" t="s">
        <v>2</v>
      </c>
      <c r="E113" s="15">
        <v>3099.76</v>
      </c>
      <c r="F113" s="15">
        <v>3099.76</v>
      </c>
      <c r="G113" s="16">
        <f t="shared" si="24"/>
        <v>0</v>
      </c>
      <c r="H113" s="16"/>
      <c r="I113" s="33">
        <f t="shared" si="16"/>
        <v>0</v>
      </c>
      <c r="J113" s="11">
        <v>4033141.99</v>
      </c>
      <c r="K113" s="16"/>
      <c r="L113" s="107">
        <f t="shared" si="17"/>
        <v>0</v>
      </c>
      <c r="M113" s="65">
        <v>4491697.34</v>
      </c>
      <c r="N113" s="16"/>
      <c r="O113" s="107">
        <f t="shared" si="18"/>
        <v>0</v>
      </c>
      <c r="P113" s="65">
        <v>4905178.24</v>
      </c>
      <c r="Q113" s="16"/>
      <c r="R113" s="107">
        <f t="shared" si="25"/>
        <v>0</v>
      </c>
      <c r="S113" s="65">
        <v>5433566.2300000004</v>
      </c>
      <c r="T113" s="16"/>
      <c r="U113" s="109">
        <f t="shared" si="26"/>
        <v>0</v>
      </c>
      <c r="V113" s="70">
        <v>6029295.4500000002</v>
      </c>
    </row>
    <row r="114" spans="1:22" x14ac:dyDescent="0.2">
      <c r="A114" s="5" t="s">
        <v>99</v>
      </c>
      <c r="B114" s="13" t="s">
        <v>202</v>
      </c>
      <c r="C114" s="14" t="s">
        <v>1</v>
      </c>
      <c r="D114" s="10" t="s">
        <v>2</v>
      </c>
      <c r="E114" s="15">
        <v>1539.479</v>
      </c>
      <c r="F114" s="15">
        <v>1635.338</v>
      </c>
      <c r="G114" s="16">
        <f t="shared" si="24"/>
        <v>16102.718831478571</v>
      </c>
      <c r="H114" s="16">
        <v>2800.1129599999999</v>
      </c>
      <c r="I114" s="33">
        <f t="shared" si="16"/>
        <v>6.9427581943377101E-2</v>
      </c>
      <c r="J114" s="11">
        <v>4033141.99</v>
      </c>
      <c r="K114" s="16">
        <v>2996.1208672000002</v>
      </c>
      <c r="L114" s="107">
        <f t="shared" si="17"/>
        <v>6.6703534107665413E-2</v>
      </c>
      <c r="M114" s="65">
        <v>4491697.34</v>
      </c>
      <c r="N114" s="16">
        <v>3205.8493279040003</v>
      </c>
      <c r="O114" s="107">
        <f t="shared" si="18"/>
        <v>6.5356428880839201E-2</v>
      </c>
      <c r="P114" s="65">
        <v>4905178.24</v>
      </c>
      <c r="Q114" s="16">
        <v>3430.2587808572807</v>
      </c>
      <c r="R114" s="107">
        <f t="shared" si="25"/>
        <v>6.3130891124838287E-2</v>
      </c>
      <c r="S114" s="65">
        <v>5433566.2300000004</v>
      </c>
      <c r="T114" s="16">
        <v>3670.3768955172904</v>
      </c>
      <c r="U114" s="109">
        <f t="shared" si="26"/>
        <v>6.0875717999808593E-2</v>
      </c>
      <c r="V114" s="70">
        <v>6029295.4500000002</v>
      </c>
    </row>
    <row r="115" spans="1:22" x14ac:dyDescent="0.2">
      <c r="A115" s="5" t="s">
        <v>100</v>
      </c>
      <c r="B115" s="25" t="s">
        <v>101</v>
      </c>
      <c r="C115" s="14" t="s">
        <v>1</v>
      </c>
      <c r="D115" s="10" t="s">
        <v>2</v>
      </c>
      <c r="E115" s="15">
        <v>573.33399999999995</v>
      </c>
      <c r="F115" s="15">
        <v>566.21699999999998</v>
      </c>
      <c r="G115" s="16">
        <f t="shared" si="24"/>
        <v>4583.4093022892503</v>
      </c>
      <c r="H115" s="16">
        <v>829.90995148800016</v>
      </c>
      <c r="I115" s="33">
        <f t="shared" si="16"/>
        <v>2.0577255984186169E-2</v>
      </c>
      <c r="J115" s="11">
        <v>4033141.99</v>
      </c>
      <c r="K115" s="16">
        <v>870.36364809216013</v>
      </c>
      <c r="L115" s="107">
        <f t="shared" si="17"/>
        <v>1.9377165962214189E-2</v>
      </c>
      <c r="M115" s="65">
        <v>4491697.34</v>
      </c>
      <c r="N115" s="16">
        <v>913.64910345861142</v>
      </c>
      <c r="O115" s="107">
        <f t="shared" si="18"/>
        <v>1.8626216189416421E-2</v>
      </c>
      <c r="P115" s="65">
        <v>4905178.24</v>
      </c>
      <c r="Q115" s="16">
        <v>959.96454070071411</v>
      </c>
      <c r="R115" s="107">
        <f t="shared" si="25"/>
        <v>1.7667301732709605E-2</v>
      </c>
      <c r="S115" s="65">
        <v>5433566.2300000004</v>
      </c>
      <c r="T115" s="16">
        <v>1009.5220585497642</v>
      </c>
      <c r="U115" s="109">
        <f t="shared" si="26"/>
        <v>1.6743615683151903E-2</v>
      </c>
      <c r="V115" s="70">
        <v>6029295.4500000002</v>
      </c>
    </row>
    <row r="116" spans="1:22" x14ac:dyDescent="0.2">
      <c r="A116" s="5" t="s">
        <v>102</v>
      </c>
      <c r="B116" s="16" t="s">
        <v>103</v>
      </c>
      <c r="C116" s="14" t="s">
        <v>1</v>
      </c>
      <c r="D116" s="10" t="s">
        <v>2</v>
      </c>
      <c r="E116" s="17">
        <f>772.182+374.194</f>
        <v>1146.376</v>
      </c>
      <c r="F116" s="17">
        <v>1409.6990000000001</v>
      </c>
      <c r="G116" s="16">
        <f t="shared" si="24"/>
        <v>18745.783234248771</v>
      </c>
      <c r="H116" s="16">
        <v>3256.4333559523802</v>
      </c>
      <c r="I116" s="33">
        <f t="shared" si="16"/>
        <v>8.0741847523012208E-2</v>
      </c>
      <c r="J116" s="11">
        <v>4033141.99</v>
      </c>
      <c r="K116" s="16">
        <v>3485.9979808690473</v>
      </c>
      <c r="L116" s="107">
        <f t="shared" si="17"/>
        <v>7.7609814664606216E-2</v>
      </c>
      <c r="M116" s="65">
        <v>4491697.34</v>
      </c>
      <c r="N116" s="16">
        <v>3731.777415629881</v>
      </c>
      <c r="O116" s="107">
        <f t="shared" si="18"/>
        <v>7.607832443678704E-2</v>
      </c>
      <c r="P116" s="65">
        <v>4905178.24</v>
      </c>
      <c r="Q116" s="16">
        <v>3994.9197726729722</v>
      </c>
      <c r="R116" s="107">
        <f t="shared" si="25"/>
        <v>7.3522979265736699E-2</v>
      </c>
      <c r="S116" s="65">
        <v>5433566.2300000004</v>
      </c>
      <c r="T116" s="16">
        <v>4276.6547091244911</v>
      </c>
      <c r="U116" s="109">
        <f t="shared" si="26"/>
        <v>7.0931251330941011E-2</v>
      </c>
      <c r="V116" s="70">
        <v>6029295.4500000002</v>
      </c>
    </row>
    <row r="117" spans="1:22" x14ac:dyDescent="0.2">
      <c r="A117" s="5" t="s">
        <v>104</v>
      </c>
      <c r="B117" s="16" t="s">
        <v>105</v>
      </c>
      <c r="C117" s="14" t="s">
        <v>1</v>
      </c>
      <c r="D117" s="10" t="s">
        <v>2</v>
      </c>
      <c r="E117" s="15">
        <v>285.505</v>
      </c>
      <c r="F117" s="15">
        <v>285.31200000000001</v>
      </c>
      <c r="G117" s="16">
        <f t="shared" si="24"/>
        <v>6661.1035714285708</v>
      </c>
      <c r="H117" s="16">
        <v>1274.1071428571427</v>
      </c>
      <c r="I117" s="33">
        <f t="shared" si="16"/>
        <v>3.1590931983456957E-2</v>
      </c>
      <c r="J117" s="11">
        <v>4033141.99</v>
      </c>
      <c r="K117" s="16">
        <v>1213.3035714285713</v>
      </c>
      <c r="L117" s="107">
        <f t="shared" si="17"/>
        <v>2.7012139945933475E-2</v>
      </c>
      <c r="M117" s="65">
        <v>4491697.34</v>
      </c>
      <c r="N117" s="16">
        <v>1298.2321428571427</v>
      </c>
      <c r="O117" s="107">
        <f t="shared" si="18"/>
        <v>2.64665640948685E-2</v>
      </c>
      <c r="P117" s="65">
        <v>4905178.24</v>
      </c>
      <c r="Q117" s="16">
        <v>1389.1116071428571</v>
      </c>
      <c r="R117" s="107">
        <f t="shared" si="25"/>
        <v>2.5565375452189103E-2</v>
      </c>
      <c r="S117" s="65">
        <v>5433566.2300000004</v>
      </c>
      <c r="T117" s="16">
        <v>1486.3491071428571</v>
      </c>
      <c r="U117" s="109">
        <f t="shared" si="26"/>
        <v>2.4652119297667807E-2</v>
      </c>
      <c r="V117" s="70">
        <v>6029295.4500000002</v>
      </c>
    </row>
    <row r="118" spans="1:22" x14ac:dyDescent="0.2">
      <c r="A118" s="5" t="s">
        <v>106</v>
      </c>
      <c r="B118" s="16" t="s">
        <v>107</v>
      </c>
      <c r="C118" s="14" t="s">
        <v>1</v>
      </c>
      <c r="D118" s="10" t="s">
        <v>2</v>
      </c>
      <c r="E118" s="15">
        <v>1335.443</v>
      </c>
      <c r="F118" s="15">
        <v>1071.5060000000001</v>
      </c>
      <c r="G118" s="16">
        <f t="shared" si="24"/>
        <v>5109.7960000000003</v>
      </c>
      <c r="H118" s="16">
        <v>867.62599999999998</v>
      </c>
      <c r="I118" s="33">
        <f t="shared" si="16"/>
        <v>2.1512408989101818E-2</v>
      </c>
      <c r="J118" s="11">
        <v>4033141.99</v>
      </c>
      <c r="K118" s="16">
        <v>916.149</v>
      </c>
      <c r="L118" s="107">
        <f t="shared" si="17"/>
        <v>2.0396498932405804E-2</v>
      </c>
      <c r="M118" s="65">
        <v>4491697.34</v>
      </c>
      <c r="N118" s="16">
        <v>1062.835</v>
      </c>
      <c r="O118" s="107">
        <f t="shared" si="18"/>
        <v>2.1667612225238934E-2</v>
      </c>
      <c r="P118" s="65">
        <v>4905178.24</v>
      </c>
      <c r="Q118" s="16">
        <v>1093.2570000000001</v>
      </c>
      <c r="R118" s="107">
        <f t="shared" si="25"/>
        <v>2.0120432027935363E-2</v>
      </c>
      <c r="S118" s="65">
        <v>5433566.2300000004</v>
      </c>
      <c r="T118" s="16">
        <v>1169.9290000000001</v>
      </c>
      <c r="U118" s="109">
        <f t="shared" si="26"/>
        <v>1.9404074816071586E-2</v>
      </c>
      <c r="V118" s="70">
        <v>6029295.4500000002</v>
      </c>
    </row>
    <row r="119" spans="1:22" x14ac:dyDescent="0.2">
      <c r="A119" s="5" t="s">
        <v>108</v>
      </c>
      <c r="B119" s="16" t="s">
        <v>109</v>
      </c>
      <c r="C119" s="14" t="s">
        <v>1</v>
      </c>
      <c r="D119" s="10" t="s">
        <v>2</v>
      </c>
      <c r="E119" s="15">
        <v>502.28199999999998</v>
      </c>
      <c r="F119" s="15">
        <v>488.06</v>
      </c>
      <c r="G119" s="16">
        <f t="shared" si="24"/>
        <v>2786.29619345933</v>
      </c>
      <c r="H119" s="16">
        <v>484.51098000000002</v>
      </c>
      <c r="I119" s="33">
        <f t="shared" si="16"/>
        <v>1.2013238839627365E-2</v>
      </c>
      <c r="J119" s="11">
        <v>4033141.99</v>
      </c>
      <c r="K119" s="16">
        <v>518.4267486</v>
      </c>
      <c r="L119" s="107">
        <f t="shared" si="17"/>
        <v>1.1541889610042159E-2</v>
      </c>
      <c r="M119" s="65">
        <v>4491697.34</v>
      </c>
      <c r="N119" s="16">
        <v>554.71662100200001</v>
      </c>
      <c r="O119" s="107">
        <f t="shared" si="18"/>
        <v>1.1308796415968769E-2</v>
      </c>
      <c r="P119" s="65">
        <v>4905178.24</v>
      </c>
      <c r="Q119" s="16">
        <v>593.54678447214008</v>
      </c>
      <c r="R119" s="107">
        <f t="shared" si="25"/>
        <v>1.0923705709061357E-2</v>
      </c>
      <c r="S119" s="65">
        <v>5433566.2300000004</v>
      </c>
      <c r="T119" s="16">
        <v>635.09505938518987</v>
      </c>
      <c r="U119" s="109">
        <f t="shared" si="26"/>
        <v>1.0533487115566544E-2</v>
      </c>
      <c r="V119" s="70">
        <v>6029295.4500000002</v>
      </c>
    </row>
    <row r="120" spans="1:22" s="2" customFormat="1" x14ac:dyDescent="0.2">
      <c r="A120" s="7" t="s">
        <v>199</v>
      </c>
      <c r="B120" s="21" t="s">
        <v>110</v>
      </c>
      <c r="C120" s="14" t="s">
        <v>1</v>
      </c>
      <c r="D120" s="10" t="s">
        <v>2</v>
      </c>
      <c r="E120" s="21">
        <v>142178.54999999999</v>
      </c>
      <c r="F120" s="21">
        <v>133556.99400000001</v>
      </c>
      <c r="G120" s="21">
        <f t="shared" si="24"/>
        <v>89496.209880000009</v>
      </c>
      <c r="H120" s="21">
        <v>64589.636349999993</v>
      </c>
      <c r="I120" s="33">
        <f t="shared" si="16"/>
        <v>1.6014719171838525</v>
      </c>
      <c r="J120" s="11">
        <v>4033141.99</v>
      </c>
      <c r="K120" s="21">
        <v>24842.167910000004</v>
      </c>
      <c r="L120" s="107">
        <f t="shared" si="17"/>
        <v>0.5530686070223958</v>
      </c>
      <c r="M120" s="65">
        <v>4491697.34</v>
      </c>
      <c r="N120" s="21">
        <v>64.405619999999999</v>
      </c>
      <c r="O120" s="107">
        <f t="shared" si="18"/>
        <v>1.3130128376333985E-3</v>
      </c>
      <c r="P120" s="65">
        <v>4905178.24</v>
      </c>
      <c r="Q120" s="16">
        <v>0</v>
      </c>
      <c r="R120" s="107">
        <f t="shared" si="25"/>
        <v>0</v>
      </c>
      <c r="S120" s="65">
        <v>5433566.2300000004</v>
      </c>
      <c r="T120" s="16">
        <v>0</v>
      </c>
      <c r="U120" s="109">
        <f t="shared" si="26"/>
        <v>0</v>
      </c>
      <c r="V120" s="70">
        <v>6029295.4500000002</v>
      </c>
    </row>
    <row r="121" spans="1:22" s="106" customFormat="1" x14ac:dyDescent="0.2">
      <c r="A121" s="100" t="s">
        <v>111</v>
      </c>
      <c r="B121" s="101" t="s">
        <v>112</v>
      </c>
      <c r="C121" s="102" t="s">
        <v>1</v>
      </c>
      <c r="D121" s="103" t="s">
        <v>2</v>
      </c>
      <c r="E121" s="104">
        <f t="shared" ref="E121:T121" si="27">E11+E85</f>
        <v>2082625.48694</v>
      </c>
      <c r="F121" s="104">
        <f t="shared" si="27"/>
        <v>2140676.4469999997</v>
      </c>
      <c r="G121" s="104">
        <f t="shared" si="27"/>
        <v>515346415.19342238</v>
      </c>
      <c r="H121" s="104">
        <f t="shared" si="27"/>
        <v>4033141.9911628556</v>
      </c>
      <c r="I121" s="105">
        <f t="shared" si="16"/>
        <v>100.00000002883249</v>
      </c>
      <c r="J121" s="104">
        <v>4033141.99</v>
      </c>
      <c r="K121" s="104">
        <f t="shared" si="27"/>
        <v>4491697.3371057799</v>
      </c>
      <c r="L121" s="66">
        <f t="shared" si="17"/>
        <v>99.999999935565114</v>
      </c>
      <c r="M121" s="65">
        <v>4491697.34</v>
      </c>
      <c r="N121" s="104">
        <f t="shared" si="27"/>
        <v>4905178.2353519946</v>
      </c>
      <c r="O121" s="66">
        <f t="shared" si="18"/>
        <v>99.999999905242873</v>
      </c>
      <c r="P121" s="65">
        <v>4905178.24</v>
      </c>
      <c r="Q121" s="104">
        <f t="shared" si="27"/>
        <v>5433566.2302000718</v>
      </c>
      <c r="R121" s="66">
        <f t="shared" si="25"/>
        <v>100.00000000368215</v>
      </c>
      <c r="S121" s="65">
        <v>5433566.2300000004</v>
      </c>
      <c r="T121" s="104">
        <f t="shared" si="27"/>
        <v>6029295.4451079573</v>
      </c>
      <c r="U121" s="108">
        <f t="shared" si="26"/>
        <v>99.999999918862116</v>
      </c>
      <c r="V121" s="70">
        <v>6029295.4500000002</v>
      </c>
    </row>
    <row r="122" spans="1:22" s="55" customFormat="1" x14ac:dyDescent="0.2">
      <c r="A122" s="52" t="s">
        <v>113</v>
      </c>
      <c r="B122" s="53" t="s">
        <v>114</v>
      </c>
      <c r="C122" s="57" t="s">
        <v>1</v>
      </c>
      <c r="D122" s="49" t="s">
        <v>2</v>
      </c>
      <c r="E122" s="50">
        <f>E124-E121</f>
        <v>138543.61906000017</v>
      </c>
      <c r="F122" s="50">
        <f>F124-F121</f>
        <v>90150.899670000188</v>
      </c>
      <c r="G122" s="54">
        <f>H122+K122+N122+Q122+T122</f>
        <v>1017567.9980849909</v>
      </c>
      <c r="H122" s="54">
        <v>254864.91473577952</v>
      </c>
      <c r="I122" s="59">
        <f>H122/J122*100</f>
        <v>6.3192646172067821</v>
      </c>
      <c r="J122" s="50">
        <v>4033141.99</v>
      </c>
      <c r="K122" s="54">
        <v>249552.44847294729</v>
      </c>
      <c r="L122" s="59"/>
      <c r="M122" s="54"/>
      <c r="N122" s="54">
        <v>218088.83207272185</v>
      </c>
      <c r="O122" s="59"/>
      <c r="P122" s="54"/>
      <c r="Q122" s="54">
        <v>181646.96914362386</v>
      </c>
      <c r="R122" s="59"/>
      <c r="S122" s="54"/>
      <c r="T122" s="54">
        <v>113414.83365991837</v>
      </c>
      <c r="U122" s="108">
        <f t="shared" si="26"/>
        <v>1.8810627974769152</v>
      </c>
      <c r="V122" s="70">
        <v>6029295.4500000002</v>
      </c>
    </row>
    <row r="123" spans="1:22" s="22" customFormat="1" ht="31.5" x14ac:dyDescent="0.2">
      <c r="A123" s="19" t="s">
        <v>115</v>
      </c>
      <c r="B123" s="20" t="s">
        <v>116</v>
      </c>
      <c r="C123" s="14" t="s">
        <v>1</v>
      </c>
      <c r="D123" s="10" t="s">
        <v>2</v>
      </c>
      <c r="E123" s="11"/>
      <c r="F123" s="21"/>
      <c r="G123" s="21"/>
      <c r="H123" s="21">
        <v>1768615.9461299998</v>
      </c>
      <c r="I123" s="37"/>
      <c r="J123" s="21"/>
      <c r="K123" s="21">
        <v>1440491.4279399998</v>
      </c>
      <c r="L123" s="37"/>
      <c r="M123" s="21"/>
      <c r="N123" s="21">
        <v>1987738.9038065628</v>
      </c>
      <c r="O123" s="37"/>
      <c r="P123" s="21"/>
      <c r="Q123" s="21">
        <v>2538190.1890831292</v>
      </c>
      <c r="R123" s="37"/>
      <c r="S123" s="21"/>
      <c r="T123" s="21">
        <v>3093402.7329096938</v>
      </c>
      <c r="U123" s="33"/>
    </row>
    <row r="124" spans="1:22" s="22" customFormat="1" x14ac:dyDescent="0.2">
      <c r="A124" s="19" t="s">
        <v>117</v>
      </c>
      <c r="B124" s="20" t="s">
        <v>228</v>
      </c>
      <c r="C124" s="14" t="s">
        <v>1</v>
      </c>
      <c r="D124" s="10" t="s">
        <v>2</v>
      </c>
      <c r="E124" s="11">
        <v>2221169.1060000001</v>
      </c>
      <c r="F124" s="11">
        <v>2230827.3466699999</v>
      </c>
      <c r="G124" s="21">
        <f>H124+K124+N124+Q124+T124</f>
        <v>25910447.237013649</v>
      </c>
      <c r="H124" s="21">
        <f>H122+H121</f>
        <v>4288006.9058986353</v>
      </c>
      <c r="I124" s="37"/>
      <c r="J124" s="21"/>
      <c r="K124" s="21">
        <f>K122+K121</f>
        <v>4741249.7855787268</v>
      </c>
      <c r="L124" s="37"/>
      <c r="M124" s="21"/>
      <c r="N124" s="21">
        <f>N122+N121</f>
        <v>5123267.0674247164</v>
      </c>
      <c r="O124" s="37"/>
      <c r="P124" s="21"/>
      <c r="Q124" s="21">
        <f>Q122+Q121</f>
        <v>5615213.1993436953</v>
      </c>
      <c r="R124" s="37"/>
      <c r="S124" s="21"/>
      <c r="T124" s="21">
        <f>T122+T121</f>
        <v>6142710.2787678754</v>
      </c>
      <c r="U124" s="33"/>
    </row>
    <row r="125" spans="1:22" s="22" customFormat="1" ht="31.5" x14ac:dyDescent="0.2">
      <c r="A125" s="19" t="s">
        <v>229</v>
      </c>
      <c r="B125" s="20" t="s">
        <v>230</v>
      </c>
      <c r="C125" s="33" t="s">
        <v>231</v>
      </c>
      <c r="D125" s="10" t="s">
        <v>2</v>
      </c>
      <c r="E125" s="11">
        <v>1346163.095</v>
      </c>
      <c r="F125" s="21">
        <v>1333981.8570000001</v>
      </c>
      <c r="G125" s="21">
        <f>H125+K125+N125+Q125+T125</f>
        <v>6755730.3600000003</v>
      </c>
      <c r="H125" s="21">
        <v>1323660.892</v>
      </c>
      <c r="I125" s="37"/>
      <c r="J125" s="21"/>
      <c r="K125" s="34">
        <v>1335002.892</v>
      </c>
      <c r="L125" s="33"/>
      <c r="M125" s="34"/>
      <c r="N125" s="34">
        <v>1354391.9920000001</v>
      </c>
      <c r="O125" s="33"/>
      <c r="P125" s="34"/>
      <c r="Q125" s="34">
        <v>1364534.9920000001</v>
      </c>
      <c r="R125" s="33"/>
      <c r="S125" s="34"/>
      <c r="T125" s="34">
        <v>1378139.5919999999</v>
      </c>
      <c r="U125" s="33"/>
    </row>
    <row r="126" spans="1:22" s="22" customFormat="1" x14ac:dyDescent="0.2">
      <c r="A126" s="368" t="s">
        <v>232</v>
      </c>
      <c r="B126" s="370" t="s">
        <v>233</v>
      </c>
      <c r="C126" s="33" t="s">
        <v>234</v>
      </c>
      <c r="D126" s="10" t="s">
        <v>2</v>
      </c>
      <c r="E126" s="11"/>
      <c r="F126" s="21"/>
      <c r="G126" s="35"/>
      <c r="H126" s="21">
        <v>4.5</v>
      </c>
      <c r="I126" s="37"/>
      <c r="J126" s="21"/>
      <c r="K126" s="34">
        <v>4.4400000000000004</v>
      </c>
      <c r="L126" s="33"/>
      <c r="M126" s="34"/>
      <c r="N126" s="34">
        <v>4.43</v>
      </c>
      <c r="O126" s="33"/>
      <c r="P126" s="34"/>
      <c r="Q126" s="34">
        <v>4.42</v>
      </c>
      <c r="R126" s="33"/>
      <c r="S126" s="34"/>
      <c r="T126" s="34">
        <v>4.4400000000000004</v>
      </c>
      <c r="U126" s="33"/>
    </row>
    <row r="127" spans="1:22" s="22" customFormat="1" x14ac:dyDescent="0.2">
      <c r="A127" s="369"/>
      <c r="B127" s="371"/>
      <c r="C127" s="33" t="s">
        <v>231</v>
      </c>
      <c r="D127" s="10" t="s">
        <v>2</v>
      </c>
      <c r="E127" s="11"/>
      <c r="F127" s="21"/>
      <c r="G127" s="21"/>
      <c r="H127" s="21">
        <v>62588.303999999996</v>
      </c>
      <c r="I127" s="37"/>
      <c r="J127" s="21"/>
      <c r="K127" s="34">
        <v>62242.002</v>
      </c>
      <c r="L127" s="33"/>
      <c r="M127" s="34"/>
      <c r="N127" s="34">
        <v>62994.071000000004</v>
      </c>
      <c r="O127" s="33"/>
      <c r="P127" s="34"/>
      <c r="Q127" s="34">
        <v>63314.349000000002</v>
      </c>
      <c r="R127" s="33"/>
      <c r="S127" s="34"/>
      <c r="T127" s="34">
        <v>64246.260999999999</v>
      </c>
      <c r="U127" s="33"/>
    </row>
    <row r="128" spans="1:22" s="22" customFormat="1" x14ac:dyDescent="0.2">
      <c r="A128" s="19" t="s">
        <v>235</v>
      </c>
      <c r="B128" s="20" t="s">
        <v>236</v>
      </c>
      <c r="C128" s="33" t="s">
        <v>237</v>
      </c>
      <c r="D128" s="10" t="s">
        <v>2</v>
      </c>
      <c r="E128" s="11">
        <f t="shared" ref="E128:T128" si="28">E124/E125</f>
        <v>1.6499999994428611</v>
      </c>
      <c r="F128" s="21">
        <f t="shared" si="28"/>
        <v>1.6723071119474751</v>
      </c>
      <c r="G128" s="21">
        <f t="shared" si="28"/>
        <v>3.8353288032966502</v>
      </c>
      <c r="H128" s="21">
        <f t="shared" si="28"/>
        <v>3.2395056255077721</v>
      </c>
      <c r="I128" s="37"/>
      <c r="J128" s="21"/>
      <c r="K128" s="21">
        <f t="shared" si="28"/>
        <v>3.5514902731601925</v>
      </c>
      <c r="L128" s="37"/>
      <c r="M128" s="21"/>
      <c r="N128" s="21">
        <f t="shared" si="28"/>
        <v>3.7827062605850936</v>
      </c>
      <c r="O128" s="37"/>
      <c r="P128" s="21"/>
      <c r="Q128" s="21">
        <f t="shared" si="28"/>
        <v>4.115111178727247</v>
      </c>
      <c r="R128" s="37"/>
      <c r="S128" s="21"/>
      <c r="T128" s="21">
        <f t="shared" si="28"/>
        <v>4.4572482456972153</v>
      </c>
      <c r="U128" s="33"/>
    </row>
    <row r="129" spans="1:21" s="22" customFormat="1" x14ac:dyDescent="0.2">
      <c r="A129" s="19"/>
      <c r="B129" s="20"/>
      <c r="C129" s="20"/>
      <c r="D129" s="10" t="s">
        <v>2</v>
      </c>
      <c r="E129" s="11"/>
      <c r="F129" s="21"/>
      <c r="G129" s="21"/>
      <c r="H129" s="16"/>
      <c r="I129" s="6"/>
      <c r="J129" s="16"/>
      <c r="K129" s="34"/>
      <c r="L129" s="33"/>
      <c r="M129" s="34"/>
      <c r="N129" s="34"/>
      <c r="O129" s="33"/>
      <c r="P129" s="34"/>
      <c r="Q129" s="34"/>
      <c r="R129" s="33"/>
      <c r="S129" s="34"/>
      <c r="T129" s="34"/>
      <c r="U129" s="110"/>
    </row>
    <row r="130" spans="1:21" s="22" customFormat="1" x14ac:dyDescent="0.2">
      <c r="A130" s="36"/>
      <c r="B130" s="13" t="s">
        <v>238</v>
      </c>
      <c r="C130" s="6"/>
      <c r="D130" s="10" t="s">
        <v>2</v>
      </c>
      <c r="E130" s="34"/>
      <c r="F130" s="21"/>
      <c r="G130" s="21"/>
      <c r="H130" s="16"/>
      <c r="I130" s="6"/>
      <c r="J130" s="16"/>
      <c r="K130" s="34"/>
      <c r="L130" s="33"/>
      <c r="M130" s="34"/>
      <c r="N130" s="34"/>
      <c r="O130" s="33"/>
      <c r="P130" s="34"/>
      <c r="Q130" s="34"/>
      <c r="R130" s="33"/>
      <c r="S130" s="34"/>
      <c r="T130" s="34"/>
      <c r="U130" s="110"/>
    </row>
    <row r="131" spans="1:21" s="22" customFormat="1" ht="31.5" x14ac:dyDescent="0.2">
      <c r="A131" s="19" t="s">
        <v>239</v>
      </c>
      <c r="B131" s="8" t="s">
        <v>240</v>
      </c>
      <c r="C131" s="9" t="s">
        <v>241</v>
      </c>
      <c r="D131" s="10" t="s">
        <v>2</v>
      </c>
      <c r="E131" s="34">
        <v>910</v>
      </c>
      <c r="F131" s="34">
        <v>910</v>
      </c>
      <c r="G131" s="21"/>
      <c r="H131" s="21">
        <v>1283</v>
      </c>
      <c r="I131" s="37"/>
      <c r="J131" s="21"/>
      <c r="K131" s="21">
        <v>1285</v>
      </c>
      <c r="L131" s="37"/>
      <c r="M131" s="21"/>
      <c r="N131" s="21">
        <v>1296</v>
      </c>
      <c r="O131" s="37"/>
      <c r="P131" s="21"/>
      <c r="Q131" s="21">
        <v>1301</v>
      </c>
      <c r="R131" s="37"/>
      <c r="S131" s="21"/>
      <c r="T131" s="21">
        <v>1303</v>
      </c>
      <c r="U131" s="110"/>
    </row>
    <row r="132" spans="1:21" x14ac:dyDescent="0.2">
      <c r="A132" s="5" t="s">
        <v>242</v>
      </c>
      <c r="B132" s="13" t="s">
        <v>243</v>
      </c>
      <c r="C132" s="14" t="s">
        <v>241</v>
      </c>
      <c r="D132" s="10" t="s">
        <v>2</v>
      </c>
      <c r="E132" s="16">
        <f>E131-E133</f>
        <v>857</v>
      </c>
      <c r="F132" s="16">
        <f>F131-F133</f>
        <v>857</v>
      </c>
      <c r="G132" s="16"/>
      <c r="H132" s="16">
        <v>1191</v>
      </c>
      <c r="I132" s="6"/>
      <c r="J132" s="16"/>
      <c r="K132" s="16">
        <v>1193</v>
      </c>
      <c r="L132" s="6"/>
      <c r="M132" s="16"/>
      <c r="N132" s="16">
        <v>1204</v>
      </c>
      <c r="O132" s="6"/>
      <c r="P132" s="16"/>
      <c r="Q132" s="16">
        <v>1209</v>
      </c>
      <c r="R132" s="6"/>
      <c r="S132" s="16"/>
      <c r="T132" s="16">
        <v>1211</v>
      </c>
    </row>
    <row r="133" spans="1:21" x14ac:dyDescent="0.2">
      <c r="A133" s="5" t="s">
        <v>244</v>
      </c>
      <c r="B133" s="13" t="s">
        <v>245</v>
      </c>
      <c r="C133" s="14" t="s">
        <v>241</v>
      </c>
      <c r="D133" s="10" t="s">
        <v>2</v>
      </c>
      <c r="E133" s="16">
        <v>53</v>
      </c>
      <c r="F133" s="16">
        <v>53</v>
      </c>
      <c r="G133" s="16"/>
      <c r="H133" s="16">
        <v>92</v>
      </c>
      <c r="I133" s="6"/>
      <c r="J133" s="16"/>
      <c r="K133" s="16">
        <v>92</v>
      </c>
      <c r="L133" s="6"/>
      <c r="M133" s="16"/>
      <c r="N133" s="16">
        <v>92</v>
      </c>
      <c r="O133" s="6"/>
      <c r="P133" s="16"/>
      <c r="Q133" s="16">
        <v>92</v>
      </c>
      <c r="R133" s="6"/>
      <c r="S133" s="16"/>
      <c r="T133" s="16">
        <v>92</v>
      </c>
    </row>
    <row r="134" spans="1:21" s="2" customFormat="1" ht="31.5" x14ac:dyDescent="0.2">
      <c r="A134" s="7" t="s">
        <v>246</v>
      </c>
      <c r="B134" s="24" t="s">
        <v>252</v>
      </c>
      <c r="C134" s="37" t="s">
        <v>253</v>
      </c>
      <c r="D134" s="10" t="s">
        <v>2</v>
      </c>
      <c r="E134" s="21">
        <f>(E20+E87)*1000/12/E131</f>
        <v>77755.564010989023</v>
      </c>
      <c r="F134" s="21">
        <f>(F20+F87)*1000/12/F131</f>
        <v>79935.430311355318</v>
      </c>
      <c r="G134" s="21"/>
      <c r="H134" s="21">
        <f>(H20+H87)*1000/12/H131</f>
        <v>130229.93</v>
      </c>
      <c r="I134" s="37"/>
      <c r="J134" s="21"/>
      <c r="K134" s="21">
        <f>(K20+K87)*1000/12/K131</f>
        <v>141950.62370000003</v>
      </c>
      <c r="L134" s="37"/>
      <c r="M134" s="21"/>
      <c r="N134" s="21">
        <f>(N20+N87)*1000/12/N131</f>
        <v>154726.17983300003</v>
      </c>
      <c r="O134" s="37"/>
      <c r="P134" s="21"/>
      <c r="Q134" s="21">
        <f>(Q20+Q87)*1000/12/Q131</f>
        <v>168651.53601797004</v>
      </c>
      <c r="R134" s="37"/>
      <c r="S134" s="21"/>
      <c r="T134" s="21">
        <f>(T20+T87)*1000/12/T131</f>
        <v>183830.17425958734</v>
      </c>
      <c r="U134" s="111"/>
    </row>
    <row r="135" spans="1:21" x14ac:dyDescent="0.2">
      <c r="A135" s="5" t="s">
        <v>254</v>
      </c>
      <c r="B135" s="13" t="s">
        <v>243</v>
      </c>
      <c r="C135" s="6" t="s">
        <v>253</v>
      </c>
      <c r="D135" s="10" t="s">
        <v>2</v>
      </c>
      <c r="E135" s="16">
        <f>E20/12*1000/E132</f>
        <v>74206.157720731237</v>
      </c>
      <c r="F135" s="16">
        <f>F20/12*1000/F132</f>
        <v>76354.084791909772</v>
      </c>
      <c r="G135" s="16"/>
      <c r="H135" s="16">
        <f>H20/12*1000/H132</f>
        <v>123454.91197917717</v>
      </c>
      <c r="I135" s="6"/>
      <c r="J135" s="16"/>
      <c r="K135" s="16">
        <f>K20/12*1000/K132</f>
        <v>134549.67751882653</v>
      </c>
      <c r="L135" s="6"/>
      <c r="M135" s="16"/>
      <c r="N135" s="16">
        <f>N20/12*1000/N132</f>
        <v>146563.217255764</v>
      </c>
      <c r="O135" s="6"/>
      <c r="P135" s="16"/>
      <c r="Q135" s="16">
        <f>Q20/12*1000/Q132</f>
        <v>159707.00625000292</v>
      </c>
      <c r="R135" s="6"/>
      <c r="S135" s="16"/>
      <c r="T135" s="16">
        <f>T20/12*1000/T132</f>
        <v>174060.30636912736</v>
      </c>
    </row>
    <row r="136" spans="1:21" x14ac:dyDescent="0.2">
      <c r="A136" s="5" t="s">
        <v>255</v>
      </c>
      <c r="B136" s="13" t="s">
        <v>245</v>
      </c>
      <c r="C136" s="6" t="s">
        <v>253</v>
      </c>
      <c r="D136" s="10" t="s">
        <v>2</v>
      </c>
      <c r="E136" s="16">
        <f>E87*1000/12/E133</f>
        <v>135148.79402515723</v>
      </c>
      <c r="F136" s="16">
        <f>F87*1000/12/F133</f>
        <v>137845.11163522012</v>
      </c>
      <c r="G136" s="16"/>
      <c r="H136" s="16">
        <f>H87*1000/12/H133</f>
        <v>217936.95676956521</v>
      </c>
      <c r="I136" s="6"/>
      <c r="J136" s="16"/>
      <c r="K136" s="16">
        <f>K87*1000/12/K133</f>
        <v>237921.58885369566</v>
      </c>
      <c r="L136" s="6"/>
      <c r="M136" s="16"/>
      <c r="N136" s="16">
        <f>N87*1000/12/N133</f>
        <v>261554.51616987132</v>
      </c>
      <c r="O136" s="6"/>
      <c r="P136" s="16"/>
      <c r="Q136" s="16">
        <f>Q87*1000/12/Q133</f>
        <v>286194.32394701609</v>
      </c>
      <c r="R136" s="6"/>
      <c r="S136" s="16"/>
      <c r="T136" s="16">
        <f>T87*1000/12/T133</f>
        <v>312431.37007857696</v>
      </c>
    </row>
    <row r="137" spans="1:21" s="2" customFormat="1" ht="47.25" x14ac:dyDescent="0.2">
      <c r="A137" s="7" t="s">
        <v>256</v>
      </c>
      <c r="B137" s="24" t="s">
        <v>257</v>
      </c>
      <c r="C137" s="37" t="s">
        <v>1</v>
      </c>
      <c r="D137" s="10" t="s">
        <v>2</v>
      </c>
      <c r="E137" s="21">
        <v>34943.280590000002</v>
      </c>
      <c r="F137" s="21">
        <v>44066.300569999992</v>
      </c>
      <c r="G137" s="21"/>
      <c r="H137" s="16"/>
      <c r="I137" s="6"/>
      <c r="J137" s="16"/>
      <c r="K137" s="21"/>
      <c r="L137" s="37"/>
      <c r="M137" s="21"/>
      <c r="N137" s="21"/>
      <c r="O137" s="37"/>
      <c r="P137" s="21"/>
      <c r="Q137" s="21"/>
      <c r="R137" s="37"/>
      <c r="S137" s="21"/>
      <c r="T137" s="21"/>
      <c r="U137" s="111"/>
    </row>
    <row r="138" spans="1:21" s="2" customFormat="1" ht="31.5" x14ac:dyDescent="0.2">
      <c r="A138" s="7" t="s">
        <v>258</v>
      </c>
      <c r="B138" s="24" t="s">
        <v>259</v>
      </c>
      <c r="C138" s="37" t="s">
        <v>1</v>
      </c>
      <c r="D138" s="10" t="s">
        <v>2</v>
      </c>
      <c r="E138" s="21">
        <v>208515.19787999996</v>
      </c>
      <c r="F138" s="21">
        <v>202620.14074000006</v>
      </c>
      <c r="G138" s="21"/>
      <c r="H138" s="16"/>
      <c r="I138" s="6"/>
      <c r="J138" s="16"/>
      <c r="K138" s="21"/>
      <c r="L138" s="37"/>
      <c r="M138" s="21"/>
      <c r="N138" s="21"/>
      <c r="O138" s="37"/>
      <c r="P138" s="21"/>
      <c r="Q138" s="21"/>
      <c r="R138" s="37"/>
      <c r="S138" s="21"/>
      <c r="T138" s="21"/>
      <c r="U138" s="111"/>
    </row>
    <row r="139" spans="1:21" s="2" customFormat="1" ht="47.25" x14ac:dyDescent="0.2">
      <c r="A139" s="7" t="s">
        <v>260</v>
      </c>
      <c r="B139" s="24" t="s">
        <v>261</v>
      </c>
      <c r="C139" s="37" t="s">
        <v>1</v>
      </c>
      <c r="D139" s="10" t="s">
        <v>2</v>
      </c>
      <c r="E139" s="21">
        <f>E26</f>
        <v>97961.56</v>
      </c>
      <c r="F139" s="21">
        <f t="shared" ref="F139:T139" si="29">F26</f>
        <v>93616.365999999995</v>
      </c>
      <c r="G139" s="21">
        <f t="shared" si="29"/>
        <v>20530800.15235427</v>
      </c>
      <c r="H139" s="21">
        <f t="shared" si="29"/>
        <v>272764.4323708351</v>
      </c>
      <c r="I139" s="37"/>
      <c r="J139" s="21"/>
      <c r="K139" s="21">
        <f t="shared" si="29"/>
        <v>335013.72199742129</v>
      </c>
      <c r="L139" s="37"/>
      <c r="M139" s="21"/>
      <c r="N139" s="21">
        <f t="shared" si="29"/>
        <v>318175.86927500006</v>
      </c>
      <c r="O139" s="37"/>
      <c r="P139" s="21"/>
      <c r="Q139" s="21">
        <f t="shared" si="29"/>
        <v>357754.38045310002</v>
      </c>
      <c r="R139" s="37"/>
      <c r="S139" s="21"/>
      <c r="T139" s="21">
        <f t="shared" si="29"/>
        <v>383480.65598750004</v>
      </c>
      <c r="U139" s="111"/>
    </row>
    <row r="140" spans="1:21" x14ac:dyDescent="0.2">
      <c r="A140" s="5" t="s">
        <v>262</v>
      </c>
      <c r="B140" s="13" t="s">
        <v>263</v>
      </c>
      <c r="C140" s="6" t="s">
        <v>1</v>
      </c>
      <c r="D140" s="10" t="s">
        <v>2</v>
      </c>
      <c r="E140" s="16">
        <f>E139-E143</f>
        <v>88579.4</v>
      </c>
      <c r="F140" s="16">
        <f t="shared" ref="F140:T140" si="30">F139-F143</f>
        <v>84260.525999999998</v>
      </c>
      <c r="G140" s="16">
        <f t="shared" si="30"/>
        <v>20485824.906514268</v>
      </c>
      <c r="H140" s="16">
        <f t="shared" si="30"/>
        <v>266448.86437083507</v>
      </c>
      <c r="I140" s="6"/>
      <c r="J140" s="16"/>
      <c r="K140" s="16">
        <f t="shared" si="30"/>
        <v>326874.39891742129</v>
      </c>
      <c r="L140" s="6"/>
      <c r="M140" s="16"/>
      <c r="N140" s="16">
        <f t="shared" si="30"/>
        <v>309206.41927500005</v>
      </c>
      <c r="O140" s="6"/>
      <c r="P140" s="16"/>
      <c r="Q140" s="16">
        <f t="shared" si="30"/>
        <v>348328.0881931</v>
      </c>
      <c r="R140" s="6"/>
      <c r="S140" s="16"/>
      <c r="T140" s="16">
        <f t="shared" si="30"/>
        <v>371356.04348750005</v>
      </c>
    </row>
    <row r="141" spans="1:21" x14ac:dyDescent="0.2">
      <c r="A141" s="5" t="s">
        <v>264</v>
      </c>
      <c r="B141" s="13" t="s">
        <v>265</v>
      </c>
      <c r="C141" s="6" t="s">
        <v>1</v>
      </c>
      <c r="D141" s="10" t="s">
        <v>2</v>
      </c>
      <c r="E141" s="16"/>
      <c r="F141" s="16"/>
      <c r="G141" s="16"/>
      <c r="H141" s="16"/>
      <c r="I141" s="6"/>
      <c r="J141" s="16"/>
      <c r="K141" s="16"/>
      <c r="L141" s="6"/>
      <c r="M141" s="16"/>
      <c r="N141" s="16"/>
      <c r="O141" s="6"/>
      <c r="P141" s="16"/>
      <c r="Q141" s="16"/>
      <c r="R141" s="6"/>
      <c r="S141" s="16"/>
      <c r="T141" s="16"/>
    </row>
    <row r="142" spans="1:21" x14ac:dyDescent="0.2">
      <c r="A142" s="5" t="s">
        <v>266</v>
      </c>
      <c r="B142" s="13" t="s">
        <v>267</v>
      </c>
      <c r="C142" s="6" t="s">
        <v>1</v>
      </c>
      <c r="D142" s="10" t="s">
        <v>2</v>
      </c>
      <c r="E142" s="16"/>
      <c r="F142" s="16"/>
      <c r="G142" s="16"/>
      <c r="H142" s="16"/>
      <c r="I142" s="6"/>
      <c r="J142" s="16"/>
      <c r="K142" s="16"/>
      <c r="L142" s="6"/>
      <c r="M142" s="16"/>
      <c r="N142" s="16"/>
      <c r="O142" s="6"/>
      <c r="P142" s="16"/>
      <c r="Q142" s="16"/>
      <c r="R142" s="6"/>
      <c r="S142" s="16"/>
      <c r="T142" s="16"/>
    </row>
    <row r="143" spans="1:21" x14ac:dyDescent="0.2">
      <c r="A143" s="5" t="s">
        <v>268</v>
      </c>
      <c r="B143" s="13" t="s">
        <v>269</v>
      </c>
      <c r="C143" s="6" t="s">
        <v>1</v>
      </c>
      <c r="D143" s="10" t="s">
        <v>2</v>
      </c>
      <c r="E143" s="16">
        <v>9382.16</v>
      </c>
      <c r="F143" s="16">
        <v>9355.84</v>
      </c>
      <c r="G143" s="16">
        <f>H143+K143+N143+Q143+T143</f>
        <v>44975.245840000003</v>
      </c>
      <c r="H143" s="16">
        <v>6315.5680000000011</v>
      </c>
      <c r="I143" s="6"/>
      <c r="J143" s="16"/>
      <c r="K143" s="16">
        <v>8139.3230799999992</v>
      </c>
      <c r="L143" s="6"/>
      <c r="M143" s="16"/>
      <c r="N143" s="16">
        <v>8969.4499999999989</v>
      </c>
      <c r="O143" s="6"/>
      <c r="P143" s="16"/>
      <c r="Q143" s="16">
        <v>9426.2922600000002</v>
      </c>
      <c r="R143" s="6"/>
      <c r="S143" s="16"/>
      <c r="T143" s="16">
        <v>12124.612500000001</v>
      </c>
    </row>
    <row r="146" spans="1:20" ht="40.15" customHeight="1" x14ac:dyDescent="0.25">
      <c r="A146" s="366" t="s">
        <v>270</v>
      </c>
      <c r="B146" s="366"/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</row>
    <row r="147" spans="1:20" ht="94.5" x14ac:dyDescent="0.2">
      <c r="A147" s="38">
        <v>9</v>
      </c>
      <c r="B147" s="39" t="s">
        <v>247</v>
      </c>
      <c r="C147" s="40" t="s">
        <v>1</v>
      </c>
      <c r="D147" s="41">
        <v>1053292.07</v>
      </c>
      <c r="E147" s="42">
        <f>E121-E148-E149</f>
        <v>1266337.03094</v>
      </c>
      <c r="F147" s="42">
        <f>F121-F148-F149</f>
        <v>1289256.4809999997</v>
      </c>
      <c r="G147" s="10" t="s">
        <v>2</v>
      </c>
      <c r="H147" s="10" t="s">
        <v>2</v>
      </c>
      <c r="I147" s="10"/>
      <c r="J147" s="10"/>
      <c r="K147" s="10" t="s">
        <v>2</v>
      </c>
      <c r="L147" s="10"/>
      <c r="M147" s="10"/>
      <c r="N147" s="10" t="s">
        <v>2</v>
      </c>
      <c r="O147" s="10"/>
      <c r="P147" s="10"/>
      <c r="Q147" s="10" t="s">
        <v>2</v>
      </c>
      <c r="R147" s="10"/>
      <c r="S147" s="10"/>
      <c r="T147" s="10" t="s">
        <v>2</v>
      </c>
    </row>
    <row r="148" spans="1:20" ht="47.25" x14ac:dyDescent="0.2">
      <c r="A148" s="38">
        <v>10</v>
      </c>
      <c r="B148" s="39" t="s">
        <v>248</v>
      </c>
      <c r="C148" s="40" t="s">
        <v>1</v>
      </c>
      <c r="D148" s="41">
        <v>323800</v>
      </c>
      <c r="E148" s="42">
        <f>E99+E23</f>
        <v>334820.21800000005</v>
      </c>
      <c r="F148" s="42">
        <f>F99+F23</f>
        <v>339925.19099999999</v>
      </c>
      <c r="G148" s="10" t="s">
        <v>2</v>
      </c>
      <c r="H148" s="10" t="s">
        <v>2</v>
      </c>
      <c r="I148" s="10"/>
      <c r="J148" s="10"/>
      <c r="K148" s="10" t="s">
        <v>2</v>
      </c>
      <c r="L148" s="10"/>
      <c r="M148" s="10"/>
      <c r="N148" s="10" t="s">
        <v>2</v>
      </c>
      <c r="O148" s="10"/>
      <c r="P148" s="10"/>
      <c r="Q148" s="10" t="s">
        <v>2</v>
      </c>
      <c r="R148" s="10"/>
      <c r="S148" s="10"/>
      <c r="T148" s="10" t="s">
        <v>2</v>
      </c>
    </row>
    <row r="149" spans="1:20" ht="47.25" x14ac:dyDescent="0.2">
      <c r="A149" s="38">
        <v>11</v>
      </c>
      <c r="B149" s="39" t="s">
        <v>118</v>
      </c>
      <c r="C149" s="40" t="s">
        <v>1</v>
      </c>
      <c r="D149" s="42">
        <f>D150+D151+D152+D153</f>
        <v>696578.8</v>
      </c>
      <c r="E149" s="42">
        <f>E150+E151+E152+E153</f>
        <v>481468.23799999995</v>
      </c>
      <c r="F149" s="40">
        <f>F150+F151+F152+F153</f>
        <v>511494.77499999997</v>
      </c>
      <c r="G149" s="10" t="s">
        <v>2</v>
      </c>
      <c r="H149" s="10" t="s">
        <v>2</v>
      </c>
      <c r="I149" s="10"/>
      <c r="J149" s="10"/>
      <c r="K149" s="10" t="s">
        <v>2</v>
      </c>
      <c r="L149" s="10"/>
      <c r="M149" s="10"/>
      <c r="N149" s="10" t="s">
        <v>2</v>
      </c>
      <c r="O149" s="10"/>
      <c r="P149" s="10"/>
      <c r="Q149" s="10" t="s">
        <v>2</v>
      </c>
      <c r="R149" s="10"/>
      <c r="S149" s="10"/>
      <c r="T149" s="10" t="s">
        <v>2</v>
      </c>
    </row>
    <row r="150" spans="1:20" x14ac:dyDescent="0.2">
      <c r="A150" s="38" t="s">
        <v>119</v>
      </c>
      <c r="B150" s="39" t="s">
        <v>120</v>
      </c>
      <c r="C150" s="40" t="s">
        <v>1</v>
      </c>
      <c r="D150" s="41">
        <v>12543</v>
      </c>
      <c r="E150" s="42">
        <f>E89</f>
        <v>10792.289000000001</v>
      </c>
      <c r="F150" s="42">
        <f>F89</f>
        <v>10987.606</v>
      </c>
      <c r="G150" s="10" t="s">
        <v>2</v>
      </c>
      <c r="H150" s="10" t="s">
        <v>2</v>
      </c>
      <c r="I150" s="10"/>
      <c r="J150" s="10"/>
      <c r="K150" s="10" t="s">
        <v>2</v>
      </c>
      <c r="L150" s="10"/>
      <c r="M150" s="10"/>
      <c r="N150" s="10" t="s">
        <v>2</v>
      </c>
      <c r="O150" s="10"/>
      <c r="P150" s="10"/>
      <c r="Q150" s="10" t="s">
        <v>2</v>
      </c>
      <c r="R150" s="10"/>
      <c r="S150" s="10"/>
      <c r="T150" s="10" t="s">
        <v>2</v>
      </c>
    </row>
    <row r="151" spans="1:20" ht="47.25" x14ac:dyDescent="0.2">
      <c r="A151" s="38" t="s">
        <v>121</v>
      </c>
      <c r="B151" s="39" t="s">
        <v>122</v>
      </c>
      <c r="C151" s="40" t="s">
        <v>1</v>
      </c>
      <c r="D151" s="41">
        <v>573255.80000000005</v>
      </c>
      <c r="E151" s="10">
        <f>E18-E152</f>
        <v>325122.53499999997</v>
      </c>
      <c r="F151" s="10">
        <f>F18-F152</f>
        <v>362988.13099999999</v>
      </c>
      <c r="G151" s="10" t="s">
        <v>2</v>
      </c>
      <c r="H151" s="10" t="s">
        <v>2</v>
      </c>
      <c r="I151" s="10"/>
      <c r="J151" s="10"/>
      <c r="K151" s="10" t="s">
        <v>2</v>
      </c>
      <c r="L151" s="10"/>
      <c r="M151" s="10"/>
      <c r="N151" s="10" t="s">
        <v>2</v>
      </c>
      <c r="O151" s="10"/>
      <c r="P151" s="10"/>
      <c r="Q151" s="10" t="s">
        <v>2</v>
      </c>
      <c r="R151" s="10"/>
      <c r="S151" s="10"/>
      <c r="T151" s="10" t="s">
        <v>2</v>
      </c>
    </row>
    <row r="152" spans="1:20" x14ac:dyDescent="0.2">
      <c r="A152" s="38" t="s">
        <v>123</v>
      </c>
      <c r="B152" s="39" t="s">
        <v>124</v>
      </c>
      <c r="C152" s="40" t="s">
        <v>1</v>
      </c>
      <c r="D152" s="41">
        <v>6443</v>
      </c>
      <c r="E152" s="10">
        <v>3374.864</v>
      </c>
      <c r="F152" s="10">
        <v>3962.0439999999999</v>
      </c>
      <c r="G152" s="10" t="s">
        <v>2</v>
      </c>
      <c r="H152" s="10" t="s">
        <v>2</v>
      </c>
      <c r="I152" s="10"/>
      <c r="J152" s="10"/>
      <c r="K152" s="10" t="s">
        <v>2</v>
      </c>
      <c r="L152" s="10"/>
      <c r="M152" s="10"/>
      <c r="N152" s="10" t="s">
        <v>2</v>
      </c>
      <c r="O152" s="10"/>
      <c r="P152" s="10"/>
      <c r="Q152" s="10" t="s">
        <v>2</v>
      </c>
      <c r="R152" s="10"/>
      <c r="S152" s="10"/>
      <c r="T152" s="10" t="s">
        <v>2</v>
      </c>
    </row>
    <row r="153" spans="1:20" ht="78.75" x14ac:dyDescent="0.2">
      <c r="A153" s="38" t="s">
        <v>125</v>
      </c>
      <c r="B153" s="39" t="s">
        <v>126</v>
      </c>
      <c r="C153" s="40" t="s">
        <v>1</v>
      </c>
      <c r="D153" s="41">
        <v>104337</v>
      </c>
      <c r="E153" s="42">
        <f>E120</f>
        <v>142178.54999999999</v>
      </c>
      <c r="F153" s="42">
        <f>F120</f>
        <v>133556.99400000001</v>
      </c>
      <c r="G153" s="10" t="s">
        <v>2</v>
      </c>
      <c r="H153" s="10" t="s">
        <v>2</v>
      </c>
      <c r="I153" s="10"/>
      <c r="J153" s="10"/>
      <c r="K153" s="10" t="s">
        <v>2</v>
      </c>
      <c r="L153" s="10"/>
      <c r="M153" s="10"/>
      <c r="N153" s="10" t="s">
        <v>2</v>
      </c>
      <c r="O153" s="10"/>
      <c r="P153" s="10"/>
      <c r="Q153" s="10" t="s">
        <v>2</v>
      </c>
      <c r="R153" s="10"/>
      <c r="S153" s="10"/>
      <c r="T153" s="10" t="s">
        <v>2</v>
      </c>
    </row>
    <row r="154" spans="1:20" x14ac:dyDescent="0.2">
      <c r="A154" s="38">
        <v>12</v>
      </c>
      <c r="B154" s="39" t="s">
        <v>127</v>
      </c>
      <c r="C154" s="40" t="s">
        <v>1</v>
      </c>
      <c r="D154" s="41">
        <v>244332</v>
      </c>
      <c r="E154" s="41">
        <f>E122</f>
        <v>138543.61906000017</v>
      </c>
      <c r="F154" s="41">
        <f>F122</f>
        <v>90150.899670000188</v>
      </c>
      <c r="G154" s="10" t="s">
        <v>2</v>
      </c>
      <c r="H154" s="10" t="s">
        <v>2</v>
      </c>
      <c r="I154" s="10"/>
      <c r="J154" s="10"/>
      <c r="K154" s="10" t="s">
        <v>2</v>
      </c>
      <c r="L154" s="10"/>
      <c r="M154" s="10"/>
      <c r="N154" s="10" t="s">
        <v>2</v>
      </c>
      <c r="O154" s="10"/>
      <c r="P154" s="10"/>
      <c r="Q154" s="10" t="s">
        <v>2</v>
      </c>
      <c r="R154" s="10"/>
      <c r="S154" s="10"/>
      <c r="T154" s="10" t="s">
        <v>2</v>
      </c>
    </row>
    <row r="155" spans="1:20" ht="47.25" x14ac:dyDescent="0.2">
      <c r="A155" s="38"/>
      <c r="B155" s="39" t="s">
        <v>128</v>
      </c>
      <c r="C155" s="40" t="s">
        <v>231</v>
      </c>
      <c r="D155" s="41">
        <v>1336436.52</v>
      </c>
      <c r="E155" s="42">
        <f>E125</f>
        <v>1346163.095</v>
      </c>
      <c r="F155" s="42">
        <f>F125</f>
        <v>1333981.8570000001</v>
      </c>
      <c r="G155" s="10" t="s">
        <v>2</v>
      </c>
      <c r="H155" s="10" t="s">
        <v>2</v>
      </c>
      <c r="I155" s="10"/>
      <c r="J155" s="10"/>
      <c r="K155" s="10" t="s">
        <v>2</v>
      </c>
      <c r="L155" s="10"/>
      <c r="M155" s="10"/>
      <c r="N155" s="10" t="s">
        <v>2</v>
      </c>
      <c r="O155" s="10"/>
      <c r="P155" s="10"/>
      <c r="Q155" s="10" t="s">
        <v>2</v>
      </c>
      <c r="R155" s="10"/>
      <c r="S155" s="10"/>
      <c r="T155" s="10" t="s">
        <v>2</v>
      </c>
    </row>
    <row r="156" spans="1:20" ht="47.25" x14ac:dyDescent="0.2">
      <c r="A156" s="38"/>
      <c r="B156" s="39" t="s">
        <v>129</v>
      </c>
      <c r="C156" s="40" t="s">
        <v>130</v>
      </c>
      <c r="D156" s="43">
        <f>(D147+D148+D149+D154)/D155</f>
        <v>1.734465375130575</v>
      </c>
      <c r="E156" s="44">
        <f>E157/E155</f>
        <v>1.6499999994428611</v>
      </c>
      <c r="F156" s="44">
        <f>F157/F155</f>
        <v>1.6723071119474751</v>
      </c>
      <c r="G156" s="10" t="s">
        <v>2</v>
      </c>
      <c r="H156" s="10" t="s">
        <v>2</v>
      </c>
      <c r="I156" s="10"/>
      <c r="J156" s="10"/>
      <c r="K156" s="10" t="s">
        <v>2</v>
      </c>
      <c r="L156" s="10"/>
      <c r="M156" s="10"/>
      <c r="N156" s="10" t="s">
        <v>2</v>
      </c>
      <c r="O156" s="10"/>
      <c r="P156" s="10"/>
      <c r="Q156" s="10" t="s">
        <v>2</v>
      </c>
      <c r="R156" s="10"/>
      <c r="S156" s="10"/>
      <c r="T156" s="10" t="s">
        <v>2</v>
      </c>
    </row>
    <row r="157" spans="1:20" x14ac:dyDescent="0.2">
      <c r="A157" s="38"/>
      <c r="B157" s="39" t="s">
        <v>131</v>
      </c>
      <c r="C157" s="40" t="s">
        <v>1</v>
      </c>
      <c r="D157" s="41">
        <f>D156*D155</f>
        <v>2318002.87</v>
      </c>
      <c r="E157" s="41">
        <f>E147+E148+E149+E154</f>
        <v>2221169.1060000001</v>
      </c>
      <c r="F157" s="41">
        <f>F147+F148+F149+F154</f>
        <v>2230827.3466699999</v>
      </c>
      <c r="G157" s="10" t="s">
        <v>2</v>
      </c>
      <c r="H157" s="10" t="s">
        <v>2</v>
      </c>
      <c r="I157" s="10"/>
      <c r="J157" s="10"/>
      <c r="K157" s="10" t="s">
        <v>2</v>
      </c>
      <c r="L157" s="10"/>
      <c r="M157" s="10"/>
      <c r="N157" s="10" t="s">
        <v>2</v>
      </c>
      <c r="O157" s="10"/>
      <c r="P157" s="10"/>
      <c r="Q157" s="10" t="s">
        <v>2</v>
      </c>
      <c r="R157" s="10"/>
      <c r="S157" s="10"/>
      <c r="T157" s="10" t="s">
        <v>2</v>
      </c>
    </row>
    <row r="160" spans="1:20" ht="18.75" x14ac:dyDescent="0.2">
      <c r="A160" s="365"/>
      <c r="B160" s="365"/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5"/>
      <c r="T160" s="365"/>
    </row>
    <row r="162" spans="6:6" x14ac:dyDescent="0.2">
      <c r="F162" s="45"/>
    </row>
  </sheetData>
  <mergeCells count="19">
    <mergeCell ref="K1:T1"/>
    <mergeCell ref="K2:T2"/>
    <mergeCell ref="K3:T3"/>
    <mergeCell ref="K4:T4"/>
    <mergeCell ref="A9:A10"/>
    <mergeCell ref="N5:T5"/>
    <mergeCell ref="A6:T6"/>
    <mergeCell ref="A7:T7"/>
    <mergeCell ref="B8:E8"/>
    <mergeCell ref="A160:T160"/>
    <mergeCell ref="B9:B10"/>
    <mergeCell ref="C9:C10"/>
    <mergeCell ref="D9:D10"/>
    <mergeCell ref="E9:E10"/>
    <mergeCell ref="A126:A127"/>
    <mergeCell ref="B126:B127"/>
    <mergeCell ref="A146:T146"/>
    <mergeCell ref="F9:F10"/>
    <mergeCell ref="G9:U9"/>
  </mergeCells>
  <phoneticPr fontId="28" type="noConversion"/>
  <printOptions horizontalCentered="1"/>
  <pageMargins left="0.19685039370078741" right="0.19685039370078741" top="0.82677165354330717" bottom="0.23622047244094491" header="0.51181102362204722" footer="0.27559055118110237"/>
  <pageSetup paperSize="9" scale="55" fitToHeight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36" activePane="bottomRight" state="frozen"/>
      <selection pane="topRight" activeCell="F1" sqref="F1"/>
      <selection pane="bottomLeft" activeCell="A5" sqref="A5"/>
      <selection pane="bottomRight" activeCell="P46" sqref="P46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hidden="1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customWidth="1"/>
    <col min="16" max="16" width="14.7109375" style="121" customWidth="1"/>
    <col min="17" max="17" width="13.28515625" style="3" customWidth="1"/>
    <col min="18" max="18" width="13.7109375" style="3" customWidth="1"/>
    <col min="19" max="20" width="12.85546875" style="3" customWidth="1"/>
    <col min="21" max="21" width="14.5703125" style="46" hidden="1" customWidth="1"/>
    <col min="22" max="22" width="9.140625" style="3" hidden="1" customWidth="1"/>
    <col min="23" max="23" width="14.85546875" style="144" hidden="1" customWidth="1"/>
    <col min="24" max="24" width="14.7109375" style="121" hidden="1" customWidth="1"/>
    <col min="25" max="25" width="13.28515625" style="3" hidden="1" customWidth="1"/>
    <col min="26" max="26" width="13.7109375" style="3" hidden="1" customWidth="1"/>
    <col min="27" max="28" width="12.85546875" style="3" hidden="1" customWidth="1"/>
    <col min="29" max="16384" width="9.140625" style="3"/>
  </cols>
  <sheetData>
    <row r="1" spans="1:28" x14ac:dyDescent="0.2">
      <c r="B1" s="2" t="s">
        <v>148</v>
      </c>
      <c r="C1" s="2"/>
      <c r="D1" s="2"/>
      <c r="E1" s="2"/>
      <c r="K1" s="356"/>
      <c r="L1" s="356"/>
      <c r="M1" s="356"/>
      <c r="N1" s="356"/>
      <c r="Q1" s="356"/>
      <c r="R1" s="356"/>
      <c r="S1" s="356"/>
      <c r="T1" s="356"/>
      <c r="Y1" s="356"/>
      <c r="Z1" s="356"/>
      <c r="AA1" s="356"/>
      <c r="AB1" s="356"/>
    </row>
    <row r="2" spans="1:28" x14ac:dyDescent="0.2">
      <c r="B2" s="2"/>
      <c r="C2" s="2"/>
      <c r="D2" s="2"/>
      <c r="E2" s="2"/>
      <c r="L2" s="356"/>
      <c r="M2" s="356"/>
      <c r="N2" s="356"/>
      <c r="R2" s="356"/>
      <c r="S2" s="356"/>
      <c r="T2" s="356"/>
      <c r="Z2" s="356"/>
      <c r="AA2" s="356"/>
      <c r="AB2" s="356"/>
    </row>
    <row r="3" spans="1:28" ht="15.75" customHeight="1" x14ac:dyDescent="0.2">
      <c r="A3" s="357" t="s">
        <v>159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28" x14ac:dyDescent="0.2">
      <c r="A4" s="357" t="s">
        <v>160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28" x14ac:dyDescent="0.2">
      <c r="B5" s="361"/>
      <c r="C5" s="361"/>
      <c r="D5" s="361"/>
      <c r="E5" s="361"/>
      <c r="F5" s="361"/>
    </row>
    <row r="6" spans="1:28" x14ac:dyDescent="0.2">
      <c r="A6" s="367" t="s">
        <v>161</v>
      </c>
      <c r="B6" s="360" t="s">
        <v>162</v>
      </c>
      <c r="C6" s="358" t="s">
        <v>163</v>
      </c>
      <c r="D6" s="358" t="s">
        <v>164</v>
      </c>
      <c r="E6" s="363" t="s">
        <v>145</v>
      </c>
      <c r="F6" s="358" t="s">
        <v>165</v>
      </c>
      <c r="G6" s="358" t="s">
        <v>166</v>
      </c>
      <c r="H6" s="363" t="s">
        <v>146</v>
      </c>
      <c r="I6" s="360" t="s">
        <v>152</v>
      </c>
      <c r="J6" s="360"/>
      <c r="K6" s="360"/>
      <c r="L6" s="360"/>
      <c r="M6" s="360"/>
      <c r="N6" s="360"/>
      <c r="O6" s="360" t="s">
        <v>150</v>
      </c>
      <c r="P6" s="360"/>
      <c r="Q6" s="360"/>
      <c r="R6" s="360"/>
      <c r="S6" s="360"/>
      <c r="T6" s="360"/>
      <c r="U6" s="358" t="s">
        <v>142</v>
      </c>
      <c r="W6" s="360" t="s">
        <v>151</v>
      </c>
      <c r="X6" s="360"/>
      <c r="Y6" s="360"/>
      <c r="Z6" s="360"/>
      <c r="AA6" s="360"/>
      <c r="AB6" s="360"/>
    </row>
    <row r="7" spans="1:28" ht="78.75" x14ac:dyDescent="0.2">
      <c r="A7" s="367"/>
      <c r="B7" s="360"/>
      <c r="C7" s="359"/>
      <c r="D7" s="362"/>
      <c r="E7" s="364"/>
      <c r="F7" s="362"/>
      <c r="G7" s="362"/>
      <c r="H7" s="364"/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 t="s">
        <v>173</v>
      </c>
      <c r="O7" s="145" t="s">
        <v>168</v>
      </c>
      <c r="P7" s="15" t="s">
        <v>169</v>
      </c>
      <c r="Q7" s="6" t="s">
        <v>170</v>
      </c>
      <c r="R7" s="6" t="s">
        <v>171</v>
      </c>
      <c r="S7" s="6" t="s">
        <v>172</v>
      </c>
      <c r="T7" s="6" t="s">
        <v>173</v>
      </c>
      <c r="U7" s="359"/>
      <c r="W7" s="145" t="s">
        <v>168</v>
      </c>
      <c r="X7" s="15" t="s">
        <v>169</v>
      </c>
      <c r="Y7" s="6" t="s">
        <v>170</v>
      </c>
      <c r="Z7" s="6" t="s">
        <v>171</v>
      </c>
      <c r="AA7" s="6" t="s">
        <v>172</v>
      </c>
      <c r="AB7" s="6" t="s">
        <v>173</v>
      </c>
    </row>
    <row r="8" spans="1:28" s="67" customFormat="1" ht="31.5" x14ac:dyDescent="0.2">
      <c r="A8" s="61" t="s">
        <v>174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10485307.715324499</v>
      </c>
      <c r="X8" s="65">
        <f t="shared" si="1"/>
        <v>2249105.0069440836</v>
      </c>
      <c r="Y8" s="65">
        <f t="shared" si="1"/>
        <v>2459679.0299599976</v>
      </c>
      <c r="Z8" s="65">
        <f t="shared" si="1"/>
        <v>2675126.9506486375</v>
      </c>
      <c r="AA8" s="65">
        <f t="shared" si="1"/>
        <v>2910200.7654852737</v>
      </c>
      <c r="AB8" s="65">
        <f t="shared" si="1"/>
        <v>3193678.5165534546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3339130.3152560247</v>
      </c>
      <c r="X9" s="58">
        <f t="shared" si="3"/>
        <v>659098.29405999999</v>
      </c>
      <c r="Y9" s="58">
        <f t="shared" si="3"/>
        <v>651357.86250360007</v>
      </c>
      <c r="Z9" s="58">
        <f t="shared" si="3"/>
        <v>664420.15391381597</v>
      </c>
      <c r="AA9" s="58">
        <f t="shared" si="3"/>
        <v>674439.62668864499</v>
      </c>
      <c r="AB9" s="58">
        <f t="shared" si="3"/>
        <v>689814.37808996369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325109.67821114796</v>
      </c>
      <c r="X10" s="132">
        <f>54408.761*1.06</f>
        <v>57673.286659999998</v>
      </c>
      <c r="Y10" s="16">
        <f>X10*1.06</f>
        <v>61133.683859600002</v>
      </c>
      <c r="Z10" s="16">
        <f>Y10*1.06</f>
        <v>64801.704891176007</v>
      </c>
      <c r="AA10" s="16">
        <f>Z10*1.06</f>
        <v>68689.807184646575</v>
      </c>
      <c r="AB10" s="16">
        <f>AA10*1.06</f>
        <v>72811.195615725374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161698.76800000001</v>
      </c>
      <c r="X14" s="15">
        <v>41611.78</v>
      </c>
      <c r="Y14" s="15">
        <v>30021.746999999999</v>
      </c>
      <c r="Z14" s="15">
        <v>30021.746999999999</v>
      </c>
      <c r="AA14" s="15">
        <v>30021.746999999999</v>
      </c>
      <c r="AB14" s="15">
        <v>30021.746999999999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138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139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x14ac:dyDescent="0.2">
      <c r="A30" s="5" t="s">
        <v>39</v>
      </c>
      <c r="B30" s="16" t="s">
        <v>175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x14ac:dyDescent="0.2">
      <c r="A31" s="5" t="s">
        <v>176</v>
      </c>
      <c r="B31" s="16" t="s">
        <v>177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x14ac:dyDescent="0.2">
      <c r="A32" s="5" t="s">
        <v>178</v>
      </c>
      <c r="B32" s="16" t="s">
        <v>179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x14ac:dyDescent="0.2">
      <c r="A33" s="5" t="s">
        <v>180</v>
      </c>
      <c r="B33" s="16" t="s">
        <v>181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x14ac:dyDescent="0.2">
      <c r="A34" s="5" t="s">
        <v>182</v>
      </c>
      <c r="B34" s="16" t="s">
        <v>183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x14ac:dyDescent="0.2">
      <c r="A35" s="5" t="s">
        <v>184</v>
      </c>
      <c r="B35" s="16" t="s">
        <v>185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x14ac:dyDescent="0.2">
      <c r="A36" s="128" t="s">
        <v>186</v>
      </c>
      <c r="B36" s="129" t="s">
        <v>187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x14ac:dyDescent="0.2">
      <c r="A37" s="128" t="s">
        <v>188</v>
      </c>
      <c r="B37" s="129" t="s">
        <v>189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x14ac:dyDescent="0.2">
      <c r="A38" s="5" t="s">
        <v>190</v>
      </c>
      <c r="B38" s="25" t="s">
        <v>191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192</v>
      </c>
      <c r="B39" s="26" t="s">
        <v>193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194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195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196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197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198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199</v>
      </c>
      <c r="B45" s="26" t="s">
        <v>200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388912.2516661199</v>
      </c>
      <c r="X45" s="12">
        <f t="shared" si="18"/>
        <v>78174.756452707108</v>
      </c>
      <c r="Y45" s="12">
        <f t="shared" si="18"/>
        <v>82905.601597155517</v>
      </c>
      <c r="Z45" s="12">
        <f t="shared" si="18"/>
        <v>87923.122372984857</v>
      </c>
      <c r="AA45" s="12">
        <f t="shared" si="18"/>
        <v>90038.862195363952</v>
      </c>
      <c r="AB45" s="12">
        <f t="shared" si="18"/>
        <v>95458.580507085804</v>
      </c>
    </row>
    <row r="46" spans="1:28" x14ac:dyDescent="0.2">
      <c r="A46" s="5" t="s">
        <v>201</v>
      </c>
      <c r="B46" s="16" t="s">
        <v>202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238713.23976630441</v>
      </c>
      <c r="X46" s="15">
        <f>N46*1.06*1.06</f>
        <v>42346.869469809913</v>
      </c>
      <c r="Y46" s="16">
        <f t="shared" ref="Y46:AB48" si="20">X46*1.06</f>
        <v>44887.68163799851</v>
      </c>
      <c r="Z46" s="16">
        <f t="shared" si="20"/>
        <v>47580.942536278424</v>
      </c>
      <c r="AA46" s="16">
        <f t="shared" si="20"/>
        <v>50435.799088455133</v>
      </c>
      <c r="AB46" s="16">
        <f t="shared" si="20"/>
        <v>53461.947033762444</v>
      </c>
    </row>
    <row r="47" spans="1:28" x14ac:dyDescent="0.2">
      <c r="A47" s="5" t="s">
        <v>203</v>
      </c>
      <c r="B47" s="16" t="s">
        <v>204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x14ac:dyDescent="0.2">
      <c r="A48" s="5" t="s">
        <v>205</v>
      </c>
      <c r="B48" s="16" t="s">
        <v>206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207</v>
      </c>
      <c r="B49" s="138" t="s">
        <v>208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outlineLevel="1" x14ac:dyDescent="0.2">
      <c r="A50" s="5"/>
      <c r="B50" s="16" t="s">
        <v>194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outlineLevel="1" x14ac:dyDescent="0.2">
      <c r="A51" s="5"/>
      <c r="B51" s="16" t="s">
        <v>209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 t="shared" ref="Y51:AB55" si="25">X51*1.06</f>
        <v>605.2992200000001</v>
      </c>
      <c r="Z51" s="16">
        <f t="shared" si="25"/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outlineLevel="1" x14ac:dyDescent="0.2">
      <c r="A52" s="5"/>
      <c r="B52" s="16" t="s">
        <v>210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 t="shared" si="25"/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outlineLevel="1" x14ac:dyDescent="0.2">
      <c r="A53" s="5"/>
      <c r="B53" s="16" t="s">
        <v>211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 t="shared" si="25"/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outlineLevel="1" x14ac:dyDescent="0.2">
      <c r="A54" s="5"/>
      <c r="B54" s="16" t="s">
        <v>212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 t="shared" si="25"/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outlineLevel="1" x14ac:dyDescent="0.2">
      <c r="A55" s="5"/>
      <c r="B55" s="16" t="s">
        <v>213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 t="shared" si="25"/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ht="31.5" outlineLevel="1" x14ac:dyDescent="0.2">
      <c r="A56" s="5"/>
      <c r="B56" s="16" t="s">
        <v>214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141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141</v>
      </c>
      <c r="Y56" s="16"/>
      <c r="Z56" s="16"/>
      <c r="AA56" s="16"/>
      <c r="AB56" s="16"/>
    </row>
    <row r="57" spans="1:28" outlineLevel="1" x14ac:dyDescent="0.2">
      <c r="A57" s="5"/>
      <c r="B57" s="16" t="s">
        <v>215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x14ac:dyDescent="0.2">
      <c r="A58" s="118" t="s">
        <v>216</v>
      </c>
      <c r="B58" s="31" t="s">
        <v>217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218</v>
      </c>
      <c r="B59" s="16" t="s">
        <v>41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42</v>
      </c>
      <c r="B60" s="13" t="s">
        <v>43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44</v>
      </c>
      <c r="B61" s="26" t="s">
        <v>45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outlineLevel="1" x14ac:dyDescent="0.2">
      <c r="A62" s="5"/>
      <c r="B62" s="25" t="s">
        <v>46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outlineLevel="1" x14ac:dyDescent="0.2">
      <c r="A63" s="5"/>
      <c r="B63" s="25" t="s">
        <v>47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outlineLevel="1" x14ac:dyDescent="0.2">
      <c r="A64" s="5"/>
      <c r="B64" s="25" t="s">
        <v>48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Y70" si="31">X64*1.06</f>
        <v>2968.636</v>
      </c>
      <c r="Z64" s="16">
        <f t="shared" ref="Z64:Z70" si="32">Y64*1.06</f>
        <v>3146.75416</v>
      </c>
      <c r="AA64" s="16">
        <f t="shared" ref="AA64:AA70" si="33">Z64*1.06</f>
        <v>3335.5594096</v>
      </c>
      <c r="AB64" s="16">
        <f t="shared" ref="AB64:AB70" si="34">AA64*1.06</f>
        <v>3535.692974176</v>
      </c>
    </row>
    <row r="65" spans="1:28" outlineLevel="1" x14ac:dyDescent="0.2">
      <c r="A65" s="5"/>
      <c r="B65" s="16" t="s">
        <v>49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2"/>
        <v>53.595720000000007</v>
      </c>
      <c r="AA65" s="16">
        <f t="shared" si="33"/>
        <v>56.811463200000013</v>
      </c>
      <c r="AB65" s="16">
        <f t="shared" si="34"/>
        <v>60.220150992000015</v>
      </c>
    </row>
    <row r="66" spans="1:28" outlineLevel="1" x14ac:dyDescent="0.2">
      <c r="A66" s="30"/>
      <c r="B66" s="16" t="s">
        <v>50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2"/>
        <v>169.11303600000002</v>
      </c>
      <c r="AA66" s="16">
        <f t="shared" si="33"/>
        <v>179.25981816000004</v>
      </c>
      <c r="AB66" s="16">
        <f t="shared" si="34"/>
        <v>190.01540724960006</v>
      </c>
    </row>
    <row r="67" spans="1:28" outlineLevel="1" x14ac:dyDescent="0.2">
      <c r="A67" s="30"/>
      <c r="B67" s="25" t="s">
        <v>51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2"/>
        <v>159.95569600000005</v>
      </c>
      <c r="AA67" s="16">
        <f t="shared" si="33"/>
        <v>169.55303776000005</v>
      </c>
      <c r="AB67" s="16">
        <f t="shared" si="34"/>
        <v>179.72622002560007</v>
      </c>
    </row>
    <row r="68" spans="1:28" ht="15" customHeight="1" outlineLevel="1" x14ac:dyDescent="0.2">
      <c r="A68" s="30"/>
      <c r="B68" s="25" t="s">
        <v>52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2"/>
        <v>217.573904</v>
      </c>
      <c r="AA68" s="16">
        <f t="shared" si="33"/>
        <v>230.62833824000001</v>
      </c>
      <c r="AB68" s="16">
        <f t="shared" si="34"/>
        <v>244.46603853440001</v>
      </c>
    </row>
    <row r="69" spans="1:28" ht="15" customHeight="1" outlineLevel="1" x14ac:dyDescent="0.2">
      <c r="A69" s="30"/>
      <c r="B69" s="25" t="s">
        <v>53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2"/>
        <v>510.43462600000009</v>
      </c>
      <c r="AA69" s="16">
        <f t="shared" si="33"/>
        <v>541.06070356000009</v>
      </c>
      <c r="AB69" s="16">
        <f t="shared" si="34"/>
        <v>573.52434577360009</v>
      </c>
    </row>
    <row r="70" spans="1:28" ht="15" customHeight="1" outlineLevel="1" x14ac:dyDescent="0.2">
      <c r="A70" s="30"/>
      <c r="B70" s="25" t="s">
        <v>54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2"/>
        <v>779.92491744000017</v>
      </c>
      <c r="AA70" s="16">
        <f t="shared" si="33"/>
        <v>826.72041248640028</v>
      </c>
      <c r="AB70" s="16">
        <f t="shared" si="34"/>
        <v>876.32363723558433</v>
      </c>
    </row>
    <row r="71" spans="1:28" outlineLevel="1" x14ac:dyDescent="0.2">
      <c r="A71" s="30"/>
      <c r="B71" s="31" t="s">
        <v>55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outlineLevel="1" x14ac:dyDescent="0.2">
      <c r="A72" s="30"/>
      <c r="B72" s="16" t="s">
        <v>56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141</v>
      </c>
      <c r="Q72" s="16"/>
      <c r="R72" s="16"/>
      <c r="S72" s="16"/>
      <c r="T72" s="16"/>
      <c r="U72" s="66">
        <f t="shared" si="4"/>
        <v>76</v>
      </c>
      <c r="W72" s="136"/>
      <c r="X72" s="124" t="s">
        <v>141</v>
      </c>
      <c r="Y72" s="16"/>
      <c r="Z72" s="16"/>
      <c r="AA72" s="16"/>
      <c r="AB72" s="16"/>
    </row>
    <row r="73" spans="1:28" outlineLevel="1" x14ac:dyDescent="0.2">
      <c r="A73" s="30"/>
      <c r="B73" s="16" t="s">
        <v>57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58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5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59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5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60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6">P76+Q76+R76+S76+T76</f>
        <v>0</v>
      </c>
      <c r="P76" s="15"/>
      <c r="Q76" s="16"/>
      <c r="R76" s="16"/>
      <c r="S76" s="16"/>
      <c r="T76" s="16"/>
      <c r="U76" s="66">
        <f t="shared" si="35"/>
        <v>0</v>
      </c>
      <c r="W76" s="136">
        <f t="shared" ref="W76:W83" si="37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61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6"/>
        <v>0</v>
      </c>
      <c r="P77" s="15"/>
      <c r="Q77" s="16"/>
      <c r="R77" s="16"/>
      <c r="S77" s="16"/>
      <c r="T77" s="16"/>
      <c r="U77" s="66">
        <f t="shared" si="35"/>
        <v>0</v>
      </c>
      <c r="W77" s="136">
        <f t="shared" si="37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62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6"/>
        <v>0</v>
      </c>
      <c r="P78" s="15"/>
      <c r="Q78" s="16"/>
      <c r="R78" s="16"/>
      <c r="S78" s="16"/>
      <c r="T78" s="16"/>
      <c r="U78" s="66">
        <f t="shared" si="35"/>
        <v>0</v>
      </c>
      <c r="W78" s="136">
        <f t="shared" si="37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63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6"/>
        <v>0</v>
      </c>
      <c r="P79" s="15"/>
      <c r="Q79" s="16"/>
      <c r="R79" s="16"/>
      <c r="S79" s="16"/>
      <c r="T79" s="16"/>
      <c r="U79" s="66">
        <f t="shared" si="35"/>
        <v>0</v>
      </c>
      <c r="W79" s="136">
        <f t="shared" si="37"/>
        <v>0</v>
      </c>
      <c r="X79" s="15"/>
      <c r="Y79" s="16"/>
      <c r="Z79" s="16"/>
      <c r="AA79" s="16"/>
      <c r="AB79" s="16"/>
    </row>
    <row r="80" spans="1:28" outlineLevel="1" x14ac:dyDescent="0.2">
      <c r="A80" s="30"/>
      <c r="B80" s="16" t="s">
        <v>64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6"/>
        <v>0</v>
      </c>
      <c r="P80" s="124" t="s">
        <v>141</v>
      </c>
      <c r="Q80" s="16"/>
      <c r="R80" s="16"/>
      <c r="S80" s="16"/>
      <c r="T80" s="16"/>
      <c r="U80" s="66">
        <f t="shared" si="35"/>
        <v>335.98</v>
      </c>
      <c r="W80" s="136">
        <f t="shared" si="37"/>
        <v>0</v>
      </c>
      <c r="X80" s="124" t="s">
        <v>141</v>
      </c>
      <c r="Y80" s="16"/>
      <c r="Z80" s="16"/>
      <c r="AA80" s="16"/>
      <c r="AB80" s="16"/>
    </row>
    <row r="81" spans="1:28" outlineLevel="1" x14ac:dyDescent="0.2">
      <c r="A81" s="30"/>
      <c r="B81" s="16" t="s">
        <v>65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6"/>
        <v>0</v>
      </c>
      <c r="P81" s="15"/>
      <c r="Q81" s="16"/>
      <c r="R81" s="16"/>
      <c r="S81" s="16"/>
      <c r="T81" s="16"/>
      <c r="U81" s="66">
        <f t="shared" si="35"/>
        <v>0</v>
      </c>
      <c r="W81" s="136">
        <f t="shared" si="37"/>
        <v>0</v>
      </c>
      <c r="X81" s="15"/>
      <c r="Y81" s="16"/>
      <c r="Z81" s="16"/>
      <c r="AA81" s="16"/>
      <c r="AB81" s="16"/>
    </row>
    <row r="82" spans="1:28" outlineLevel="1" x14ac:dyDescent="0.2">
      <c r="A82" s="30"/>
      <c r="B82" s="16" t="s">
        <v>66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6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5"/>
        <v>-4.2857142972252404E-6</v>
      </c>
      <c r="W82" s="136">
        <f t="shared" si="37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outlineLevel="1" x14ac:dyDescent="0.2">
      <c r="A83" s="30"/>
      <c r="B83" s="16" t="s">
        <v>67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6"/>
        <v>0</v>
      </c>
      <c r="P83" s="15"/>
      <c r="Q83" s="16"/>
      <c r="R83" s="16"/>
      <c r="S83" s="16"/>
      <c r="T83" s="16"/>
      <c r="U83" s="66">
        <f t="shared" si="35"/>
        <v>0</v>
      </c>
      <c r="W83" s="136">
        <f t="shared" si="37"/>
        <v>0</v>
      </c>
      <c r="X83" s="15"/>
      <c r="Y83" s="16"/>
      <c r="Z83" s="16"/>
      <c r="AA83" s="16"/>
      <c r="AB83" s="16"/>
    </row>
    <row r="84" spans="1:28" s="67" customFormat="1" x14ac:dyDescent="0.2">
      <c r="A84" s="61" t="s">
        <v>68</v>
      </c>
      <c r="B84" s="68" t="s">
        <v>69</v>
      </c>
      <c r="C84" s="69" t="s">
        <v>1</v>
      </c>
      <c r="D84" s="64" t="s">
        <v>2</v>
      </c>
      <c r="E84" s="156">
        <v>381368.34</v>
      </c>
      <c r="F84" s="70">
        <f t="shared" ref="F84:T84" si="38">F85+F113+F121</f>
        <v>282751.91499999998</v>
      </c>
      <c r="G84" s="70">
        <f t="shared" si="38"/>
        <v>274269.908</v>
      </c>
      <c r="H84" s="70"/>
      <c r="I84" s="70">
        <f t="shared" si="38"/>
        <v>2424221.2602088014</v>
      </c>
      <c r="J84" s="70">
        <f t="shared" si="38"/>
        <v>432090.95190771203</v>
      </c>
      <c r="K84" s="70">
        <f t="shared" si="38"/>
        <v>476829.04499701946</v>
      </c>
      <c r="L84" s="70">
        <f t="shared" si="38"/>
        <v>475365.14964083506</v>
      </c>
      <c r="M84" s="70">
        <f t="shared" si="38"/>
        <v>501020.61030292511</v>
      </c>
      <c r="N84" s="70">
        <f t="shared" si="38"/>
        <v>538915.50336030964</v>
      </c>
      <c r="O84" s="148">
        <f t="shared" si="38"/>
        <v>1011730.3952875525</v>
      </c>
      <c r="P84" s="125">
        <f t="shared" si="38"/>
        <v>217083.02776020579</v>
      </c>
      <c r="Q84" s="70">
        <f t="shared" si="38"/>
        <v>243838.30328041821</v>
      </c>
      <c r="R84" s="70">
        <f t="shared" si="38"/>
        <v>216823.79034544327</v>
      </c>
      <c r="S84" s="70">
        <f t="shared" si="38"/>
        <v>215309.14906036988</v>
      </c>
      <c r="T84" s="70">
        <f t="shared" si="38"/>
        <v>224174.1257275854</v>
      </c>
      <c r="U84" s="66">
        <f t="shared" si="35"/>
        <v>215007.92414750624</v>
      </c>
      <c r="W84" s="148">
        <f t="shared" ref="W84:AB84" si="39">W85+W113+W121</f>
        <v>1037484.635114452</v>
      </c>
      <c r="X84" s="125">
        <f t="shared" si="39"/>
        <v>221972.78700852348</v>
      </c>
      <c r="Y84" s="70">
        <f t="shared" si="39"/>
        <v>249021.4480836349</v>
      </c>
      <c r="Z84" s="70">
        <f t="shared" si="39"/>
        <v>222317.92383685301</v>
      </c>
      <c r="AA84" s="70">
        <f t="shared" si="39"/>
        <v>221132.93056126422</v>
      </c>
      <c r="AB84" s="70">
        <f t="shared" si="39"/>
        <v>230347.33411853336</v>
      </c>
    </row>
    <row r="85" spans="1:28" s="2" customFormat="1" ht="31.5" x14ac:dyDescent="0.2">
      <c r="A85" s="7" t="s">
        <v>192</v>
      </c>
      <c r="B85" s="26" t="s">
        <v>70</v>
      </c>
      <c r="C85" s="14" t="s">
        <v>1</v>
      </c>
      <c r="D85" s="10" t="s">
        <v>2</v>
      </c>
      <c r="E85" s="10"/>
      <c r="F85" s="21">
        <f t="shared" ref="F85:T85" si="40">F86+F89+F90+F99</f>
        <v>132091.18599999999</v>
      </c>
      <c r="G85" s="21">
        <f t="shared" si="40"/>
        <v>132157.022</v>
      </c>
      <c r="H85" s="21"/>
      <c r="I85" s="21">
        <f t="shared" si="40"/>
        <v>2280735.9431958967</v>
      </c>
      <c r="J85" s="21">
        <f t="shared" si="40"/>
        <v>357988.61516741454</v>
      </c>
      <c r="K85" s="21">
        <f t="shared" si="40"/>
        <v>441986.51527082967</v>
      </c>
      <c r="L85" s="21">
        <f t="shared" si="40"/>
        <v>464533.68440998346</v>
      </c>
      <c r="M85" s="21">
        <f t="shared" si="40"/>
        <v>489559.55181707913</v>
      </c>
      <c r="N85" s="21">
        <f t="shared" si="40"/>
        <v>526667.57653059007</v>
      </c>
      <c r="O85" s="148">
        <f t="shared" si="40"/>
        <v>977867.74423124467</v>
      </c>
      <c r="P85" s="12">
        <f t="shared" si="40"/>
        <v>146509.15252620581</v>
      </c>
      <c r="Q85" s="21">
        <f t="shared" si="40"/>
        <v>212641.55433337818</v>
      </c>
      <c r="R85" s="21">
        <f t="shared" si="40"/>
        <v>210011.35016618087</v>
      </c>
      <c r="S85" s="21">
        <f t="shared" si="40"/>
        <v>208143.20088755173</v>
      </c>
      <c r="T85" s="21">
        <f t="shared" si="40"/>
        <v>216564.27732439816</v>
      </c>
      <c r="U85" s="66">
        <f t="shared" si="35"/>
        <v>211479.46264120872</v>
      </c>
      <c r="W85" s="148">
        <f t="shared" ref="W85:AB85" si="41">W86+W89+W90+W99</f>
        <v>981032.56256808876</v>
      </c>
      <c r="X85" s="12">
        <f t="shared" si="41"/>
        <v>147391.62971436468</v>
      </c>
      <c r="Y85" s="21">
        <f t="shared" si="41"/>
        <v>213576.98015282658</v>
      </c>
      <c r="Z85" s="21">
        <f t="shared" si="41"/>
        <v>211002.90153479617</v>
      </c>
      <c r="AA85" s="21">
        <f t="shared" si="41"/>
        <v>209194.24533828397</v>
      </c>
      <c r="AB85" s="21">
        <f t="shared" si="41"/>
        <v>217678.38444217431</v>
      </c>
    </row>
    <row r="86" spans="1:28" s="23" customFormat="1" ht="31.5" x14ac:dyDescent="0.2">
      <c r="A86" s="5" t="s">
        <v>71</v>
      </c>
      <c r="B86" s="13" t="s">
        <v>72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5"/>
        <v>144023.781077616</v>
      </c>
      <c r="V86" s="23">
        <f>P86/J86*100-100</f>
        <v>-59.859660077790181</v>
      </c>
      <c r="W86" s="136">
        <f>X86+Y86+Z86+AA86+AB86</f>
        <v>544422.67446033086</v>
      </c>
      <c r="X86" s="15">
        <f>X87*X88*12/1000</f>
        <v>96578.62276238401</v>
      </c>
      <c r="Y86" s="16">
        <f>Y87*Y88*12/1000</f>
        <v>102373.34012812706</v>
      </c>
      <c r="Z86" s="16">
        <f>Z87*Z88*12/1000</f>
        <v>108515.74053581469</v>
      </c>
      <c r="AA86" s="16">
        <f>AA87*AA88*12/1000</f>
        <v>115026.68496796358</v>
      </c>
      <c r="AB86" s="16">
        <f>AB87*AB88*12/1000</f>
        <v>121928.2860660414</v>
      </c>
    </row>
    <row r="87" spans="1:28" s="23" customFormat="1" x14ac:dyDescent="0.2">
      <c r="A87" s="5"/>
      <c r="B87" s="13" t="s">
        <v>140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135148.79*1.06*1.06</f>
        <v>151853.18044400003</v>
      </c>
      <c r="Y87" s="16">
        <f>X87*1.06</f>
        <v>160964.37127064003</v>
      </c>
      <c r="Z87" s="16">
        <f>Y87*1.06</f>
        <v>170622.23354687844</v>
      </c>
      <c r="AA87" s="16">
        <f>Z87*1.06</f>
        <v>180859.56755969115</v>
      </c>
      <c r="AB87" s="16">
        <f>AA87*1.06</f>
        <v>191711.14161327263</v>
      </c>
    </row>
    <row r="88" spans="1:28" s="23" customFormat="1" x14ac:dyDescent="0.2">
      <c r="A88" s="5"/>
      <c r="B88" s="13" t="s">
        <v>139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73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5"/>
        <v>14258.353973610381</v>
      </c>
      <c r="W89" s="136">
        <f>X89+Y89+Z89+AA89+AB89</f>
        <v>53897.844771572745</v>
      </c>
      <c r="X89" s="15">
        <f>X86*0.099</f>
        <v>9561.2836534760172</v>
      </c>
      <c r="Y89" s="16">
        <f>Y86*0.099</f>
        <v>10134.96067268458</v>
      </c>
      <c r="Z89" s="16">
        <f>Z86*0.099</f>
        <v>10743.058313045654</v>
      </c>
      <c r="AA89" s="16">
        <f>AA86*0.099</f>
        <v>11387.641811828395</v>
      </c>
      <c r="AB89" s="16">
        <f>AB86*0.099</f>
        <v>12070.9003205381</v>
      </c>
    </row>
    <row r="90" spans="1:28" x14ac:dyDescent="0.2">
      <c r="A90" s="5" t="s">
        <v>74</v>
      </c>
      <c r="B90" s="31" t="s">
        <v>75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42">G92+G93+G97+G98+G96</f>
        <v>10987.606</v>
      </c>
      <c r="H90" s="17">
        <v>12543</v>
      </c>
      <c r="I90" s="17">
        <f t="shared" si="42"/>
        <v>286049.86503193877</v>
      </c>
      <c r="J90" s="17">
        <f>J92+J93+J97+J98+J96</f>
        <v>13214.012816485501</v>
      </c>
      <c r="K90" s="17">
        <f t="shared" si="42"/>
        <v>80246.772357084497</v>
      </c>
      <c r="L90" s="17">
        <f t="shared" si="42"/>
        <v>71118.683919557749</v>
      </c>
      <c r="M90" s="17">
        <f t="shared" si="42"/>
        <v>61874.782349803812</v>
      </c>
      <c r="N90" s="17">
        <f t="shared" si="42"/>
        <v>59595.613589007211</v>
      </c>
      <c r="O90" s="150">
        <f t="shared" si="42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outlineLevel="1" x14ac:dyDescent="0.2">
      <c r="A91" s="5"/>
      <c r="B91" s="16" t="s">
        <v>194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outlineLevel="1" x14ac:dyDescent="0.2">
      <c r="A92" s="5"/>
      <c r="B92" s="16" t="s">
        <v>76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outlineLevel="1" x14ac:dyDescent="0.2">
      <c r="A93" s="5"/>
      <c r="B93" s="16" t="s">
        <v>77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3">G94+G95</f>
        <v>2678.607</v>
      </c>
      <c r="H93" s="17"/>
      <c r="I93" s="17">
        <f t="shared" si="43"/>
        <v>16478.397229393217</v>
      </c>
      <c r="J93" s="17">
        <f t="shared" si="43"/>
        <v>2865.4399375000003</v>
      </c>
      <c r="K93" s="17">
        <f t="shared" si="43"/>
        <v>3066.0207331250003</v>
      </c>
      <c r="L93" s="17">
        <f t="shared" si="43"/>
        <v>3280.6421844437509</v>
      </c>
      <c r="M93" s="17">
        <f t="shared" si="43"/>
        <v>3510.2871373548132</v>
      </c>
      <c r="N93" s="17">
        <f t="shared" si="43"/>
        <v>3756.0072369696504</v>
      </c>
      <c r="O93" s="150">
        <f t="shared" si="43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143</v>
      </c>
      <c r="B94" s="136" t="s">
        <v>78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144</v>
      </c>
      <c r="B95" s="136" t="s">
        <v>79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outlineLevel="1" x14ac:dyDescent="0.2">
      <c r="A96" s="5"/>
      <c r="B96" s="16" t="s">
        <v>80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outlineLevel="1" x14ac:dyDescent="0.2">
      <c r="A97" s="5"/>
      <c r="B97" s="16" t="s">
        <v>81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outlineLevel="1" x14ac:dyDescent="0.2">
      <c r="A98" s="5"/>
      <c r="B98" s="16" t="s">
        <v>82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x14ac:dyDescent="0.2">
      <c r="A99" s="7" t="s">
        <v>83</v>
      </c>
      <c r="B99" s="21" t="s">
        <v>84</v>
      </c>
      <c r="C99" s="9" t="s">
        <v>85</v>
      </c>
      <c r="D99" s="134" t="s">
        <v>2</v>
      </c>
      <c r="E99" s="134"/>
      <c r="F99" s="21">
        <f t="shared" ref="F99:O99" si="44">F100+F103+F104+F105+F106+F107+F108+F109+F110+F111+F112</f>
        <v>26745.875</v>
      </c>
      <c r="G99" s="21">
        <f t="shared" si="44"/>
        <v>24732.883000000005</v>
      </c>
      <c r="H99" s="21"/>
      <c r="I99" s="21">
        <f t="shared" si="44"/>
        <v>397941.51631772186</v>
      </c>
      <c r="J99" s="21">
        <f t="shared" si="44"/>
        <v>80352.560883842641</v>
      </c>
      <c r="K99" s="21">
        <f t="shared" si="44"/>
        <v>73070.430843911643</v>
      </c>
      <c r="L99" s="21">
        <f t="shared" si="44"/>
        <v>76071.952239585444</v>
      </c>
      <c r="M99" s="21">
        <f t="shared" si="44"/>
        <v>80446.34099965643</v>
      </c>
      <c r="N99" s="21">
        <f t="shared" si="44"/>
        <v>88000.231350725706</v>
      </c>
      <c r="O99" s="148">
        <f t="shared" si="44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86</v>
      </c>
      <c r="B100" s="31" t="s">
        <v>87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5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6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7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5"/>
        <v>0</v>
      </c>
      <c r="J101" s="16"/>
      <c r="K101" s="16"/>
      <c r="L101" s="16"/>
      <c r="M101" s="16"/>
      <c r="N101" s="16"/>
      <c r="O101" s="136">
        <f t="shared" si="46"/>
        <v>0</v>
      </c>
      <c r="P101" s="15"/>
      <c r="Q101" s="16"/>
      <c r="R101" s="16"/>
      <c r="S101" s="16"/>
      <c r="T101" s="16"/>
      <c r="U101" s="66"/>
      <c r="W101" s="136">
        <f t="shared" si="47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5"/>
        <v>0</v>
      </c>
      <c r="J102" s="16"/>
      <c r="K102" s="16"/>
      <c r="L102" s="16"/>
      <c r="M102" s="16"/>
      <c r="N102" s="16"/>
      <c r="O102" s="136">
        <f t="shared" si="46"/>
        <v>0</v>
      </c>
      <c r="P102" s="15"/>
      <c r="Q102" s="16"/>
      <c r="R102" s="16"/>
      <c r="S102" s="16"/>
      <c r="T102" s="16"/>
      <c r="U102" s="66"/>
      <c r="W102" s="136">
        <f t="shared" si="47"/>
        <v>0</v>
      </c>
      <c r="X102" s="15"/>
      <c r="Y102" s="16"/>
      <c r="Z102" s="16"/>
      <c r="AA102" s="16"/>
      <c r="AB102" s="16"/>
    </row>
    <row r="103" spans="1:28" collapsed="1" x14ac:dyDescent="0.2">
      <c r="A103" s="5" t="s">
        <v>88</v>
      </c>
      <c r="B103" s="16" t="s">
        <v>89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5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6"/>
        <v>24569.145650114882</v>
      </c>
      <c r="P103" s="15">
        <v>4358.4780000000001</v>
      </c>
      <c r="Q103" s="16">
        <f>P103*1.06</f>
        <v>4619.98668</v>
      </c>
      <c r="R103" s="16">
        <f t="shared" ref="R103:T105" si="48">Q103*1.06</f>
        <v>4897.1858808000006</v>
      </c>
      <c r="S103" s="16">
        <f t="shared" si="48"/>
        <v>5191.0170336480005</v>
      </c>
      <c r="T103" s="16">
        <f t="shared" si="48"/>
        <v>5502.4780556668811</v>
      </c>
      <c r="U103" s="66"/>
      <c r="W103" s="136">
        <f t="shared" si="47"/>
        <v>24569.145650114882</v>
      </c>
      <c r="X103" s="15">
        <v>4358.4780000000001</v>
      </c>
      <c r="Y103" s="16">
        <f t="shared" ref="Y103:AB105" si="49">X103*1.06</f>
        <v>4619.98668</v>
      </c>
      <c r="Z103" s="16">
        <f t="shared" si="49"/>
        <v>4897.1858808000006</v>
      </c>
      <c r="AA103" s="16">
        <f t="shared" si="49"/>
        <v>5191.0170336480005</v>
      </c>
      <c r="AB103" s="16">
        <f t="shared" si="49"/>
        <v>5502.4780556668811</v>
      </c>
    </row>
    <row r="104" spans="1:28" ht="31.5" x14ac:dyDescent="0.2">
      <c r="A104" s="5" t="s">
        <v>90</v>
      </c>
      <c r="B104" s="13" t="s">
        <v>91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5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6"/>
        <v>15302.565291075203</v>
      </c>
      <c r="P104" s="15">
        <v>2714.62</v>
      </c>
      <c r="Q104" s="16">
        <f>P104*1.06</f>
        <v>2877.4972000000002</v>
      </c>
      <c r="R104" s="16">
        <f t="shared" si="48"/>
        <v>3050.1470320000003</v>
      </c>
      <c r="S104" s="16">
        <f t="shared" si="48"/>
        <v>3233.1558539200005</v>
      </c>
      <c r="T104" s="16">
        <f t="shared" si="48"/>
        <v>3427.1452051552005</v>
      </c>
      <c r="U104" s="66"/>
      <c r="W104" s="136">
        <f t="shared" si="47"/>
        <v>15302.565291075203</v>
      </c>
      <c r="X104" s="15">
        <v>2714.62</v>
      </c>
      <c r="Y104" s="16">
        <f t="shared" si="49"/>
        <v>2877.4972000000002</v>
      </c>
      <c r="Z104" s="16">
        <f t="shared" si="49"/>
        <v>3050.1470320000003</v>
      </c>
      <c r="AA104" s="16">
        <f t="shared" si="49"/>
        <v>3233.1558539200005</v>
      </c>
      <c r="AB104" s="16">
        <f t="shared" si="49"/>
        <v>3427.1452051552005</v>
      </c>
    </row>
    <row r="105" spans="1:28" x14ac:dyDescent="0.2">
      <c r="A105" s="5" t="s">
        <v>92</v>
      </c>
      <c r="B105" s="16" t="s">
        <v>204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5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6"/>
        <v>7116.1928704955208</v>
      </c>
      <c r="P105" s="15">
        <v>1262.3869999999999</v>
      </c>
      <c r="Q105" s="16">
        <f>P105*1.06</f>
        <v>1338.13022</v>
      </c>
      <c r="R105" s="16">
        <f t="shared" si="48"/>
        <v>1418.4180332000001</v>
      </c>
      <c r="S105" s="16">
        <f t="shared" si="48"/>
        <v>1503.5231151920002</v>
      </c>
      <c r="T105" s="16">
        <f t="shared" si="48"/>
        <v>1593.7345021035203</v>
      </c>
      <c r="U105" s="66"/>
      <c r="W105" s="136">
        <f t="shared" si="47"/>
        <v>7116.1928704955208</v>
      </c>
      <c r="X105" s="15">
        <v>1262.3869999999999</v>
      </c>
      <c r="Y105" s="16">
        <f t="shared" si="49"/>
        <v>1338.13022</v>
      </c>
      <c r="Z105" s="16">
        <f t="shared" si="49"/>
        <v>1418.4180332000001</v>
      </c>
      <c r="AA105" s="16">
        <f t="shared" si="49"/>
        <v>1503.5231151920002</v>
      </c>
      <c r="AB105" s="16">
        <f t="shared" si="49"/>
        <v>1593.7345021035203</v>
      </c>
    </row>
    <row r="106" spans="1:28" x14ac:dyDescent="0.2">
      <c r="A106" s="5" t="s">
        <v>93</v>
      </c>
      <c r="B106" s="16" t="s">
        <v>206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5"/>
        <v>0</v>
      </c>
      <c r="J106" s="16"/>
      <c r="K106" s="16"/>
      <c r="L106" s="16"/>
      <c r="M106" s="16"/>
      <c r="N106" s="16"/>
      <c r="O106" s="136">
        <f t="shared" si="46"/>
        <v>0</v>
      </c>
      <c r="P106" s="132"/>
      <c r="Q106" s="16"/>
      <c r="R106" s="16"/>
      <c r="S106" s="16"/>
      <c r="T106" s="16"/>
      <c r="U106" s="66"/>
      <c r="W106" s="136">
        <f t="shared" si="47"/>
        <v>0</v>
      </c>
      <c r="X106" s="132"/>
      <c r="Y106" s="16"/>
      <c r="Z106" s="16"/>
      <c r="AA106" s="16"/>
      <c r="AB106" s="16"/>
    </row>
    <row r="107" spans="1:28" x14ac:dyDescent="0.2">
      <c r="A107" s="5" t="s">
        <v>94</v>
      </c>
      <c r="B107" s="16" t="s">
        <v>43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5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6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7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x14ac:dyDescent="0.2">
      <c r="A108" s="5" t="s">
        <v>95</v>
      </c>
      <c r="B108" s="16" t="s">
        <v>219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5"/>
        <v>9609.67</v>
      </c>
      <c r="J108" s="16">
        <v>9609.67</v>
      </c>
      <c r="K108" s="16"/>
      <c r="L108" s="16"/>
      <c r="M108" s="16"/>
      <c r="N108" s="16"/>
      <c r="O108" s="136">
        <f t="shared" si="46"/>
        <v>5999</v>
      </c>
      <c r="P108" s="15">
        <v>5999</v>
      </c>
      <c r="Q108" s="124" t="s">
        <v>141</v>
      </c>
      <c r="R108" s="16"/>
      <c r="S108" s="16"/>
      <c r="T108" s="16"/>
      <c r="U108" s="66"/>
      <c r="W108" s="136">
        <f t="shared" si="47"/>
        <v>5999</v>
      </c>
      <c r="X108" s="15">
        <v>5999</v>
      </c>
      <c r="Y108" s="124" t="s">
        <v>141</v>
      </c>
      <c r="Z108" s="16"/>
      <c r="AA108" s="16"/>
      <c r="AB108" s="16"/>
    </row>
    <row r="109" spans="1:28" x14ac:dyDescent="0.2">
      <c r="A109" s="5" t="s">
        <v>220</v>
      </c>
      <c r="B109" s="16" t="s">
        <v>221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5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6"/>
        <v>1378</v>
      </c>
      <c r="P109" s="132">
        <f>1300*1.06</f>
        <v>1378</v>
      </c>
      <c r="Q109" s="124" t="s">
        <v>141</v>
      </c>
      <c r="R109" s="16"/>
      <c r="S109" s="16"/>
      <c r="T109" s="16"/>
      <c r="U109" s="66"/>
      <c r="W109" s="136">
        <f t="shared" si="47"/>
        <v>1378</v>
      </c>
      <c r="X109" s="132">
        <f>1300*1.06</f>
        <v>1378</v>
      </c>
      <c r="Y109" s="124" t="s">
        <v>141</v>
      </c>
      <c r="Z109" s="16"/>
      <c r="AA109" s="16"/>
      <c r="AB109" s="16"/>
    </row>
    <row r="110" spans="1:28" x14ac:dyDescent="0.2">
      <c r="A110" s="5" t="s">
        <v>222</v>
      </c>
      <c r="B110" s="16" t="s">
        <v>223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5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6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50">Q110*1.06</f>
        <v>618.62633516960022</v>
      </c>
      <c r="S110" s="16">
        <f t="shared" si="50"/>
        <v>655.74391527977627</v>
      </c>
      <c r="T110" s="16">
        <f t="shared" si="50"/>
        <v>695.08855019656289</v>
      </c>
      <c r="U110" s="66"/>
      <c r="W110" s="136">
        <f t="shared" si="47"/>
        <v>3103.6437868059402</v>
      </c>
      <c r="X110" s="132">
        <f>490.01*1.06*1.06</f>
        <v>550.57523600000013</v>
      </c>
      <c r="Y110" s="16">
        <f t="shared" ref="Y110:AB111" si="51">X110*1.06</f>
        <v>583.6097501600002</v>
      </c>
      <c r="Z110" s="16">
        <f t="shared" si="51"/>
        <v>618.62633516960022</v>
      </c>
      <c r="AA110" s="16">
        <f t="shared" si="51"/>
        <v>655.74391527977627</v>
      </c>
      <c r="AB110" s="16">
        <f t="shared" si="51"/>
        <v>695.08855019656289</v>
      </c>
    </row>
    <row r="111" spans="1:28" x14ac:dyDescent="0.2">
      <c r="A111" s="5" t="s">
        <v>224</v>
      </c>
      <c r="B111" s="13" t="s">
        <v>225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5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6"/>
        <v>1766.5521918047998</v>
      </c>
      <c r="P111" s="15">
        <v>313.38</v>
      </c>
      <c r="Q111" s="16">
        <f>P111*1.06</f>
        <v>332.18279999999999</v>
      </c>
      <c r="R111" s="16">
        <f t="shared" si="50"/>
        <v>352.11376799999999</v>
      </c>
      <c r="S111" s="16">
        <f t="shared" si="50"/>
        <v>373.24059407999999</v>
      </c>
      <c r="T111" s="16">
        <f t="shared" si="50"/>
        <v>395.63502972480001</v>
      </c>
      <c r="U111" s="66"/>
      <c r="W111" s="136">
        <f t="shared" si="47"/>
        <v>1766.5521918047998</v>
      </c>
      <c r="X111" s="15">
        <v>313.38</v>
      </c>
      <c r="Y111" s="16">
        <f t="shared" si="51"/>
        <v>332.18279999999999</v>
      </c>
      <c r="Z111" s="16">
        <f t="shared" si="51"/>
        <v>352.11376799999999</v>
      </c>
      <c r="AA111" s="16">
        <f t="shared" si="51"/>
        <v>373.24059407999999</v>
      </c>
      <c r="AB111" s="16">
        <f t="shared" si="51"/>
        <v>395.63502972480001</v>
      </c>
    </row>
    <row r="112" spans="1:28" hidden="1" x14ac:dyDescent="0.2">
      <c r="A112" s="5" t="s">
        <v>226</v>
      </c>
      <c r="B112" s="16" t="s">
        <v>67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5"/>
        <v>0</v>
      </c>
      <c r="J112" s="16"/>
      <c r="K112" s="16"/>
      <c r="L112" s="16"/>
      <c r="M112" s="16"/>
      <c r="N112" s="16"/>
      <c r="O112" s="136">
        <f t="shared" si="46"/>
        <v>0</v>
      </c>
      <c r="P112" s="15"/>
      <c r="Q112" s="16"/>
      <c r="R112" s="16"/>
      <c r="S112" s="16"/>
      <c r="T112" s="16"/>
      <c r="U112" s="66"/>
      <c r="W112" s="136">
        <f t="shared" si="47"/>
        <v>0</v>
      </c>
      <c r="X112" s="15"/>
      <c r="Y112" s="16"/>
      <c r="Z112" s="16"/>
      <c r="AA112" s="16"/>
      <c r="AB112" s="16"/>
    </row>
    <row r="113" spans="1:28" x14ac:dyDescent="0.2">
      <c r="A113" s="5" t="s">
        <v>227</v>
      </c>
      <c r="B113" s="21" t="s">
        <v>96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52">G114+G115+G116+G117+G118+G119+G120</f>
        <v>8555.8919999999998</v>
      </c>
      <c r="H113" s="15"/>
      <c r="I113" s="16">
        <f t="shared" si="45"/>
        <v>53989.107132904501</v>
      </c>
      <c r="J113" s="12">
        <f t="shared" si="52"/>
        <v>9512.700390297523</v>
      </c>
      <c r="K113" s="12">
        <f t="shared" si="52"/>
        <v>10000.361816189779</v>
      </c>
      <c r="L113" s="12">
        <f t="shared" si="52"/>
        <v>10767.059610851637</v>
      </c>
      <c r="M113" s="12">
        <f t="shared" si="52"/>
        <v>11461.058485845964</v>
      </c>
      <c r="N113" s="12">
        <f t="shared" si="52"/>
        <v>12247.926829719594</v>
      </c>
      <c r="O113" s="148">
        <f t="shared" si="46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7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x14ac:dyDescent="0.2">
      <c r="A114" s="5" t="s">
        <v>97</v>
      </c>
      <c r="B114" s="13" t="s">
        <v>98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5"/>
        <v>0</v>
      </c>
      <c r="J114" s="16"/>
      <c r="K114" s="16"/>
      <c r="L114" s="16"/>
      <c r="M114" s="16"/>
      <c r="N114" s="16"/>
      <c r="O114" s="136">
        <f t="shared" si="46"/>
        <v>0</v>
      </c>
      <c r="P114" s="15"/>
      <c r="Q114" s="16"/>
      <c r="R114" s="16"/>
      <c r="S114" s="16"/>
      <c r="T114" s="16"/>
      <c r="U114" s="66"/>
      <c r="W114" s="136">
        <f t="shared" si="47"/>
        <v>0</v>
      </c>
      <c r="X114" s="15"/>
      <c r="Y114" s="16"/>
      <c r="Z114" s="16"/>
      <c r="AA114" s="16"/>
      <c r="AB114" s="16"/>
    </row>
    <row r="115" spans="1:28" x14ac:dyDescent="0.2">
      <c r="A115" s="5" t="s">
        <v>99</v>
      </c>
      <c r="B115" s="13" t="s">
        <v>202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5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6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3">Q115*1.06</f>
        <v>1943.5580303808006</v>
      </c>
      <c r="S115" s="16">
        <f t="shared" si="53"/>
        <v>2060.1715122036485</v>
      </c>
      <c r="T115" s="16">
        <f t="shared" si="53"/>
        <v>2183.7818029358673</v>
      </c>
      <c r="U115" s="66"/>
      <c r="W115" s="136">
        <f t="shared" si="47"/>
        <v>9750.8163852003163</v>
      </c>
      <c r="X115" s="119">
        <f>1539.48*1.06*1.06</f>
        <v>1729.7597280000002</v>
      </c>
      <c r="Y115" s="16">
        <f t="shared" ref="Y115:AB117" si="54">X115*1.06</f>
        <v>1833.5453116800004</v>
      </c>
      <c r="Z115" s="16">
        <f t="shared" si="54"/>
        <v>1943.5580303808006</v>
      </c>
      <c r="AA115" s="16">
        <f t="shared" si="54"/>
        <v>2060.1715122036485</v>
      </c>
      <c r="AB115" s="16">
        <f t="shared" si="54"/>
        <v>2183.7818029358673</v>
      </c>
    </row>
    <row r="116" spans="1:28" x14ac:dyDescent="0.2">
      <c r="A116" s="5" t="s">
        <v>100</v>
      </c>
      <c r="B116" s="25" t="s">
        <v>101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5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6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3"/>
        <v>723.82096538463998</v>
      </c>
      <c r="S116" s="16">
        <f t="shared" si="53"/>
        <v>767.25022330771844</v>
      </c>
      <c r="T116" s="16">
        <f t="shared" si="53"/>
        <v>813.28523670618154</v>
      </c>
      <c r="U116" s="66"/>
      <c r="W116" s="136">
        <f t="shared" si="47"/>
        <v>6394.148822802631</v>
      </c>
      <c r="X116" s="15">
        <f>N116*1.06*1.06</f>
        <v>1134.2989849865153</v>
      </c>
      <c r="Y116" s="16">
        <f t="shared" si="54"/>
        <v>1202.3569240857062</v>
      </c>
      <c r="Z116" s="16">
        <f t="shared" si="54"/>
        <v>1274.4983395308486</v>
      </c>
      <c r="AA116" s="16">
        <f t="shared" si="54"/>
        <v>1350.9682399026997</v>
      </c>
      <c r="AB116" s="16">
        <f t="shared" si="54"/>
        <v>1432.0263342968617</v>
      </c>
    </row>
    <row r="117" spans="1:28" x14ac:dyDescent="0.2">
      <c r="A117" s="5" t="s">
        <v>102</v>
      </c>
      <c r="B117" s="16" t="s">
        <v>103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5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3"/>
        <v>1447.2732874969604</v>
      </c>
      <c r="S117" s="16">
        <f t="shared" si="53"/>
        <v>1534.1096847467782</v>
      </c>
      <c r="T117" s="16">
        <f t="shared" si="53"/>
        <v>1626.156265831585</v>
      </c>
      <c r="U117" s="66"/>
      <c r="W117" s="136"/>
      <c r="X117" s="16">
        <f>N117*1.06*1.06</f>
        <v>4805.2492311722781</v>
      </c>
      <c r="Y117" s="16">
        <f t="shared" si="54"/>
        <v>5093.5641850426155</v>
      </c>
      <c r="Z117" s="16">
        <f t="shared" si="54"/>
        <v>5399.1780361451729</v>
      </c>
      <c r="AA117" s="16">
        <f t="shared" si="54"/>
        <v>5723.1287183138838</v>
      </c>
      <c r="AB117" s="16">
        <f t="shared" si="54"/>
        <v>6066.5164414127175</v>
      </c>
    </row>
    <row r="118" spans="1:28" x14ac:dyDescent="0.2">
      <c r="A118" s="5" t="s">
        <v>104</v>
      </c>
      <c r="B118" s="16" t="s">
        <v>105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5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6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x14ac:dyDescent="0.2">
      <c r="A119" s="5" t="s">
        <v>106</v>
      </c>
      <c r="B119" s="16" t="s">
        <v>107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5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5">Q119*1.06</f>
        <v>965.75667200000009</v>
      </c>
      <c r="S119" s="16">
        <f t="shared" si="55"/>
        <v>1023.7020723200002</v>
      </c>
      <c r="T119" s="16">
        <f t="shared" si="55"/>
        <v>1085.1241966592002</v>
      </c>
      <c r="U119" s="66"/>
      <c r="W119" s="136"/>
      <c r="X119" s="119">
        <v>859.52</v>
      </c>
      <c r="Y119" s="16">
        <f t="shared" ref="Y119:AB120" si="56">X119*1.06</f>
        <v>911.09120000000007</v>
      </c>
      <c r="Z119" s="16">
        <f t="shared" si="56"/>
        <v>965.75667200000009</v>
      </c>
      <c r="AA119" s="16">
        <f t="shared" si="56"/>
        <v>1023.7020723200002</v>
      </c>
      <c r="AB119" s="16">
        <f t="shared" si="56"/>
        <v>1085.1241966592002</v>
      </c>
    </row>
    <row r="120" spans="1:28" x14ac:dyDescent="0.2">
      <c r="A120" s="5" t="s">
        <v>108</v>
      </c>
      <c r="B120" s="16" t="s">
        <v>109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5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5"/>
        <v>364.48460400000005</v>
      </c>
      <c r="S120" s="16">
        <f t="shared" si="55"/>
        <v>386.35368024000007</v>
      </c>
      <c r="T120" s="16">
        <f t="shared" si="55"/>
        <v>409.53490105440011</v>
      </c>
      <c r="U120" s="66"/>
      <c r="W120" s="136"/>
      <c r="X120" s="15">
        <v>324.39</v>
      </c>
      <c r="Y120" s="16">
        <f t="shared" si="56"/>
        <v>343.85340000000002</v>
      </c>
      <c r="Z120" s="16">
        <f t="shared" si="56"/>
        <v>364.48460400000005</v>
      </c>
      <c r="AA120" s="16">
        <f t="shared" si="56"/>
        <v>386.35368024000007</v>
      </c>
      <c r="AB120" s="16">
        <f t="shared" si="56"/>
        <v>409.53490105440011</v>
      </c>
    </row>
    <row r="121" spans="1:28" s="2" customFormat="1" ht="31.5" x14ac:dyDescent="0.2">
      <c r="A121" s="7" t="s">
        <v>199</v>
      </c>
      <c r="B121" s="21" t="s">
        <v>110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5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111</v>
      </c>
      <c r="B122" s="20" t="s">
        <v>112</v>
      </c>
      <c r="C122" s="14" t="s">
        <v>1</v>
      </c>
      <c r="D122" s="10" t="s">
        <v>2</v>
      </c>
      <c r="E122" s="134">
        <v>1716695.49</v>
      </c>
      <c r="F122" s="11">
        <f t="shared" ref="F122:T122" si="57">F8+F84</f>
        <v>2082625.48694</v>
      </c>
      <c r="G122" s="11">
        <f t="shared" si="57"/>
        <v>2140676.4469999997</v>
      </c>
      <c r="H122" s="11">
        <f>1053292.07+323800+696578.8</f>
        <v>2073670.87</v>
      </c>
      <c r="I122" s="11">
        <f t="shared" si="57"/>
        <v>24892879.242495053</v>
      </c>
      <c r="J122" s="11">
        <f t="shared" si="57"/>
        <v>4033478.4947292558</v>
      </c>
      <c r="K122" s="11">
        <f t="shared" si="57"/>
        <v>4492082.0371057801</v>
      </c>
      <c r="L122" s="11">
        <f t="shared" si="57"/>
        <v>4905563.4353519948</v>
      </c>
      <c r="M122" s="11">
        <f t="shared" si="57"/>
        <v>5434021.5302000716</v>
      </c>
      <c r="N122" s="11">
        <f t="shared" si="57"/>
        <v>6029728.301107958</v>
      </c>
      <c r="O122" s="104">
        <f t="shared" si="57"/>
        <v>11285083.635795787</v>
      </c>
      <c r="P122" s="11">
        <f t="shared" si="57"/>
        <v>2419054.0709516793</v>
      </c>
      <c r="Q122" s="11">
        <f t="shared" si="57"/>
        <v>2665840.7666426497</v>
      </c>
      <c r="R122" s="11">
        <f t="shared" si="57"/>
        <v>2852013.5804004488</v>
      </c>
      <c r="S122" s="11">
        <f t="shared" si="57"/>
        <v>3083176.5243163933</v>
      </c>
      <c r="T122" s="11">
        <f t="shared" si="57"/>
        <v>3372979.2486380348</v>
      </c>
      <c r="U122" s="66"/>
      <c r="W122" s="104">
        <f t="shared" ref="W122:AB122" si="58">W8+W84</f>
        <v>11522792.350438951</v>
      </c>
      <c r="X122" s="11">
        <f t="shared" si="58"/>
        <v>2471077.7939526071</v>
      </c>
      <c r="Y122" s="11">
        <f t="shared" si="58"/>
        <v>2708700.4780436326</v>
      </c>
      <c r="Z122" s="11">
        <f t="shared" si="58"/>
        <v>2897444.8744854904</v>
      </c>
      <c r="AA122" s="11">
        <f t="shared" si="58"/>
        <v>3131333.6960465377</v>
      </c>
      <c r="AB122" s="11">
        <f t="shared" si="58"/>
        <v>3424025.850671988</v>
      </c>
    </row>
    <row r="123" spans="1:28" s="55" customFormat="1" x14ac:dyDescent="0.2">
      <c r="A123" s="52" t="s">
        <v>113</v>
      </c>
      <c r="B123" s="53" t="s">
        <v>114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115</v>
      </c>
      <c r="B124" s="20" t="s">
        <v>116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117</v>
      </c>
      <c r="B125" s="20" t="s">
        <v>228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2674969.733952607</v>
      </c>
      <c r="Y125" s="12">
        <f>Y122+Y123</f>
        <v>2908342.4380436325</v>
      </c>
      <c r="Z125" s="12">
        <f>Z122+Z123</f>
        <v>3071915.9344854904</v>
      </c>
      <c r="AA125" s="12">
        <f>AA122+AA123</f>
        <v>3326906.9660465377</v>
      </c>
      <c r="AB125" s="12">
        <f>AB122+AB123</f>
        <v>3464654.0706719882</v>
      </c>
    </row>
    <row r="126" spans="1:28" s="22" customFormat="1" ht="31.5" x14ac:dyDescent="0.2">
      <c r="A126" s="19" t="s">
        <v>229</v>
      </c>
      <c r="B126" s="20" t="s">
        <v>230</v>
      </c>
      <c r="C126" s="33" t="s">
        <v>231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68" t="s">
        <v>232</v>
      </c>
      <c r="B127" s="370" t="s">
        <v>233</v>
      </c>
      <c r="C127" s="33" t="s">
        <v>234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69"/>
      <c r="B128" s="371"/>
      <c r="C128" s="33" t="s">
        <v>231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235</v>
      </c>
      <c r="B129" s="305" t="s">
        <v>236</v>
      </c>
      <c r="C129" s="306" t="s">
        <v>237</v>
      </c>
      <c r="D129" s="307" t="s">
        <v>2</v>
      </c>
      <c r="E129" s="310">
        <v>1.49</v>
      </c>
      <c r="F129" s="311">
        <f t="shared" ref="F129:T129" si="59">F125/F126</f>
        <v>1.6499999994428611</v>
      </c>
      <c r="G129" s="312">
        <f t="shared" si="59"/>
        <v>1.6723071119474751</v>
      </c>
      <c r="H129" s="313">
        <f>H125/H126</f>
        <v>1.734465375130575</v>
      </c>
      <c r="I129" s="314">
        <f t="shared" si="59"/>
        <v>3.8356240429613662</v>
      </c>
      <c r="J129" s="314">
        <f t="shared" si="59"/>
        <v>3.2397598473922695</v>
      </c>
      <c r="K129" s="314">
        <f t="shared" si="59"/>
        <v>3.5517784373299524</v>
      </c>
      <c r="L129" s="314">
        <f t="shared" si="59"/>
        <v>3.7829906686458883</v>
      </c>
      <c r="M129" s="314">
        <f t="shared" si="59"/>
        <v>4.1154448455094617</v>
      </c>
      <c r="N129" s="314">
        <f t="shared" si="59"/>
        <v>4.457562332893108</v>
      </c>
      <c r="O129" s="315">
        <f>P130+Q130+R130+S130+T130</f>
        <v>0.74296785467435811</v>
      </c>
      <c r="P129" s="316">
        <f t="shared" si="59"/>
        <v>1.9815845786517952</v>
      </c>
      <c r="Q129" s="314">
        <f t="shared" si="59"/>
        <v>2.1464243589388792</v>
      </c>
      <c r="R129" s="314">
        <f t="shared" si="59"/>
        <v>2.2345706843196167</v>
      </c>
      <c r="S129" s="314">
        <f t="shared" si="59"/>
        <v>2.4028330629401649</v>
      </c>
      <c r="T129" s="314">
        <f t="shared" si="59"/>
        <v>2.4769678546743581</v>
      </c>
      <c r="U129" s="308"/>
      <c r="W129" s="315">
        <f t="shared" ref="W129:AB129" si="60">W125/W126</f>
        <v>0</v>
      </c>
      <c r="X129" s="316">
        <f t="shared" si="60"/>
        <v>2.0208874872104379</v>
      </c>
      <c r="Y129" s="314">
        <f t="shared" si="60"/>
        <v>2.1785289421257916</v>
      </c>
      <c r="Z129" s="314">
        <f t="shared" si="60"/>
        <v>2.2681143661734602</v>
      </c>
      <c r="AA129" s="314">
        <f t="shared" si="60"/>
        <v>2.4381250649866351</v>
      </c>
      <c r="AB129" s="314">
        <f t="shared" si="60"/>
        <v>2.5140080807372875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/>
      <c r="X130" s="317">
        <f>X129-1.734</f>
        <v>0.28688748721043789</v>
      </c>
      <c r="Y130" s="318">
        <f>Y129-X129</f>
        <v>0.15764145491535375</v>
      </c>
      <c r="Z130" s="318">
        <f>Z129-Y129</f>
        <v>8.958542404766856E-2</v>
      </c>
      <c r="AA130" s="318">
        <f>AA129-Z129</f>
        <v>0.17001069881317488</v>
      </c>
      <c r="AB130" s="318">
        <f>AB129-AA129</f>
        <v>7.5883015750652483E-2</v>
      </c>
    </row>
    <row r="131" spans="1:28" s="22" customFormat="1" hidden="1" x14ac:dyDescent="0.2">
      <c r="A131" s="36"/>
      <c r="B131" s="13" t="s">
        <v>238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239</v>
      </c>
      <c r="B132" s="8" t="s">
        <v>240</v>
      </c>
      <c r="C132" s="9" t="s">
        <v>241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242</v>
      </c>
      <c r="B133" s="13" t="s">
        <v>243</v>
      </c>
      <c r="C133" s="14" t="s">
        <v>241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244</v>
      </c>
      <c r="B134" s="13" t="s">
        <v>245</v>
      </c>
      <c r="C134" s="14" t="s">
        <v>241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246</v>
      </c>
      <c r="B135" s="24" t="s">
        <v>252</v>
      </c>
      <c r="C135" s="37" t="s">
        <v>253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65372.267001973509</v>
      </c>
      <c r="Y135" s="21">
        <f>(Y17+Y86)*1000/12/Y132</f>
        <v>69186.751499878548</v>
      </c>
      <c r="Z135" s="21">
        <f>(Z17+Z86)*1000/12/Z132</f>
        <v>72715.489365728834</v>
      </c>
      <c r="AA135" s="21">
        <f>(AA17+AA86)*1000/12/AA132</f>
        <v>76782.191138404029</v>
      </c>
      <c r="AB135" s="21">
        <f>(AB17+AB86)*1000/12/AB132</f>
        <v>81264.196862108569</v>
      </c>
    </row>
    <row r="136" spans="1:28" hidden="1" x14ac:dyDescent="0.2">
      <c r="A136" s="5" t="s">
        <v>254</v>
      </c>
      <c r="B136" s="13" t="s">
        <v>243</v>
      </c>
      <c r="C136" s="6" t="s">
        <v>253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255</v>
      </c>
      <c r="B137" s="13" t="s">
        <v>245</v>
      </c>
      <c r="C137" s="6" t="s">
        <v>253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87480.636560130442</v>
      </c>
      <c r="Y137" s="16">
        <f>Y86*1000/12/Y134</f>
        <v>92729.474753738279</v>
      </c>
      <c r="Z137" s="16">
        <f>Z86*1000/12/Z134</f>
        <v>98293.243238962576</v>
      </c>
      <c r="AA137" s="16">
        <f>AA86*1000/12/AA134</f>
        <v>104190.83783330033</v>
      </c>
      <c r="AB137" s="16">
        <f>AB86*1000/12/AB134</f>
        <v>110442.28810329837</v>
      </c>
    </row>
    <row r="138" spans="1:28" s="2" customFormat="1" ht="47.25" hidden="1" x14ac:dyDescent="0.2">
      <c r="A138" s="7" t="s">
        <v>256</v>
      </c>
      <c r="B138" s="24" t="s">
        <v>257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258</v>
      </c>
      <c r="B139" s="24" t="s">
        <v>259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260</v>
      </c>
      <c r="B140" s="24" t="s">
        <v>261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61">G25</f>
        <v>93616.365999999995</v>
      </c>
      <c r="H140" s="21"/>
      <c r="I140" s="21">
        <f t="shared" si="61"/>
        <v>1667189.0600838566</v>
      </c>
      <c r="J140" s="21">
        <f t="shared" si="61"/>
        <v>272764.4323708351</v>
      </c>
      <c r="K140" s="21">
        <f t="shared" si="61"/>
        <v>335013.72199742129</v>
      </c>
      <c r="L140" s="21">
        <f t="shared" si="61"/>
        <v>318175.86927500006</v>
      </c>
      <c r="M140" s="21">
        <f t="shared" si="61"/>
        <v>357754.38045310002</v>
      </c>
      <c r="N140" s="21">
        <f t="shared" si="61"/>
        <v>383480.65598750004</v>
      </c>
      <c r="O140" s="148">
        <f t="shared" si="61"/>
        <v>817395.6399999999</v>
      </c>
      <c r="P140" s="12">
        <f t="shared" si="61"/>
        <v>103926.48</v>
      </c>
      <c r="Q140" s="21">
        <f t="shared" si="61"/>
        <v>163401.60999999999</v>
      </c>
      <c r="R140" s="21">
        <f t="shared" si="61"/>
        <v>172872.08</v>
      </c>
      <c r="S140" s="21">
        <f t="shared" si="61"/>
        <v>183177.68</v>
      </c>
      <c r="T140" s="21">
        <f t="shared" si="61"/>
        <v>194017.79</v>
      </c>
      <c r="U140" s="111"/>
      <c r="W140" s="148">
        <f t="shared" ref="W140:AB140" si="62">W25</f>
        <v>817395.6399999999</v>
      </c>
      <c r="X140" s="12">
        <f t="shared" si="62"/>
        <v>103926.48</v>
      </c>
      <c r="Y140" s="21">
        <f t="shared" si="62"/>
        <v>163401.60999999999</v>
      </c>
      <c r="Z140" s="21">
        <f t="shared" si="62"/>
        <v>172872.08</v>
      </c>
      <c r="AA140" s="21">
        <f t="shared" si="62"/>
        <v>183177.68</v>
      </c>
      <c r="AB140" s="21">
        <f t="shared" si="62"/>
        <v>194017.79</v>
      </c>
    </row>
    <row r="141" spans="1:28" hidden="1" x14ac:dyDescent="0.2">
      <c r="A141" s="5" t="s">
        <v>262</v>
      </c>
      <c r="B141" s="13" t="s">
        <v>263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3">G140-G144</f>
        <v>84260.525999999998</v>
      </c>
      <c r="H141" s="16"/>
      <c r="I141" s="16">
        <f t="shared" si="63"/>
        <v>1622213.8142438566</v>
      </c>
      <c r="J141" s="16">
        <f t="shared" si="63"/>
        <v>266448.86437083507</v>
      </c>
      <c r="K141" s="16">
        <f t="shared" si="63"/>
        <v>326874.39891742129</v>
      </c>
      <c r="L141" s="16">
        <f t="shared" si="63"/>
        <v>309206.41927500005</v>
      </c>
      <c r="M141" s="16">
        <f t="shared" si="63"/>
        <v>348328.0881931</v>
      </c>
      <c r="N141" s="16">
        <f t="shared" si="63"/>
        <v>371356.04348750005</v>
      </c>
      <c r="O141" s="136">
        <f t="shared" si="63"/>
        <v>772420.39415999991</v>
      </c>
      <c r="P141" s="15">
        <f t="shared" si="63"/>
        <v>97610.911999999997</v>
      </c>
      <c r="Q141" s="16">
        <f t="shared" si="63"/>
        <v>155262.28691999998</v>
      </c>
      <c r="R141" s="16">
        <f t="shared" si="63"/>
        <v>163902.62999999998</v>
      </c>
      <c r="S141" s="16">
        <f t="shared" si="63"/>
        <v>173751.38774000001</v>
      </c>
      <c r="T141" s="16">
        <f t="shared" si="63"/>
        <v>181893.17750000002</v>
      </c>
      <c r="W141" s="136">
        <f t="shared" ref="W141:AB141" si="64">W140-W144</f>
        <v>772420.39415999991</v>
      </c>
      <c r="X141" s="15">
        <f t="shared" si="64"/>
        <v>97610.911999999997</v>
      </c>
      <c r="Y141" s="16">
        <f t="shared" si="64"/>
        <v>155262.28691999998</v>
      </c>
      <c r="Z141" s="16">
        <f t="shared" si="64"/>
        <v>163902.62999999998</v>
      </c>
      <c r="AA141" s="16">
        <f t="shared" si="64"/>
        <v>173751.38774000001</v>
      </c>
      <c r="AB141" s="16">
        <f t="shared" si="64"/>
        <v>181893.17750000002</v>
      </c>
    </row>
    <row r="142" spans="1:28" hidden="1" x14ac:dyDescent="0.2">
      <c r="A142" s="5" t="s">
        <v>264</v>
      </c>
      <c r="B142" s="13" t="s">
        <v>265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266</v>
      </c>
      <c r="B143" s="13" t="s">
        <v>267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268</v>
      </c>
      <c r="B144" s="13" t="s">
        <v>269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66" t="s">
        <v>270</v>
      </c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</row>
    <row r="148" spans="1:28" ht="110.25" hidden="1" x14ac:dyDescent="0.2">
      <c r="A148" s="38">
        <v>9</v>
      </c>
      <c r="B148" s="39" t="s">
        <v>247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47.25" hidden="1" x14ac:dyDescent="0.2">
      <c r="A149" s="38">
        <v>10</v>
      </c>
      <c r="B149" s="39" t="s">
        <v>248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118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119</v>
      </c>
      <c r="B151" s="39" t="s">
        <v>120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121</v>
      </c>
      <c r="B152" s="39" t="s">
        <v>122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123</v>
      </c>
      <c r="B153" s="39" t="s">
        <v>124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125</v>
      </c>
      <c r="B154" s="39" t="s">
        <v>126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127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128</v>
      </c>
      <c r="C156" s="40" t="s">
        <v>231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129</v>
      </c>
      <c r="C157" s="40" t="s">
        <v>130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131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65"/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16.544837786069081</v>
      </c>
      <c r="Y184" s="158">
        <f>AB129-1.734</f>
        <v>0.78000808073728756</v>
      </c>
    </row>
    <row r="185" spans="10:28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A161:N161"/>
    <mergeCell ref="G6:G7"/>
    <mergeCell ref="H6:H7"/>
    <mergeCell ref="I6:N6"/>
    <mergeCell ref="A127:A128"/>
    <mergeCell ref="B127:B128"/>
    <mergeCell ref="A6:A7"/>
    <mergeCell ref="B6:B7"/>
    <mergeCell ref="C6:C7"/>
    <mergeCell ref="Y1:AB1"/>
    <mergeCell ref="Z2:AB2"/>
    <mergeCell ref="W6:AB6"/>
    <mergeCell ref="A147:N147"/>
    <mergeCell ref="O6:T6"/>
    <mergeCell ref="U6:U7"/>
    <mergeCell ref="B5:F5"/>
    <mergeCell ref="D6:D7"/>
    <mergeCell ref="E6:E7"/>
    <mergeCell ref="F6:F7"/>
    <mergeCell ref="A4:N4"/>
    <mergeCell ref="Q1:T1"/>
    <mergeCell ref="L2:N2"/>
    <mergeCell ref="R2:T2"/>
    <mergeCell ref="A3:N3"/>
    <mergeCell ref="K1:N1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0"/>
  <sheetViews>
    <sheetView showZeros="0" view="pageBreakPreview" zoomScale="75" zoomScaleNormal="70" zoomScaleSheetLayoutView="75" workbookViewId="0">
      <pane xSplit="2" ySplit="7" topLeftCell="L90" activePane="bottomRight" state="frozen"/>
      <selection pane="topRight" activeCell="F1" sqref="F1"/>
      <selection pane="bottomLeft" activeCell="A5" sqref="A5"/>
      <selection pane="bottomRight" activeCell="P189" sqref="P189:T189"/>
    </sheetView>
  </sheetViews>
  <sheetFormatPr defaultColWidth="9.140625" defaultRowHeight="16.5" outlineLevelRow="1" x14ac:dyDescent="0.2"/>
  <cols>
    <col min="1" max="1" width="8.5703125" style="161" customWidth="1"/>
    <col min="2" max="2" width="28.28515625" style="256" customWidth="1"/>
    <col min="3" max="3" width="11.28515625" style="256" customWidth="1"/>
    <col min="4" max="4" width="10.28515625" style="256" hidden="1" customWidth="1"/>
    <col min="5" max="5" width="10.42578125" style="256" hidden="1" customWidth="1"/>
    <col min="6" max="6" width="16" style="163" hidden="1" customWidth="1"/>
    <col min="7" max="7" width="14.5703125" style="163" hidden="1" customWidth="1"/>
    <col min="8" max="8" width="13.28515625" style="163" hidden="1" customWidth="1"/>
    <col min="9" max="9" width="16.42578125" style="165" customWidth="1"/>
    <col min="10" max="10" width="14.7109375" style="165" customWidth="1"/>
    <col min="11" max="11" width="16.140625" style="165" customWidth="1"/>
    <col min="12" max="12" width="16" style="165" customWidth="1"/>
    <col min="13" max="13" width="16.85546875" style="165" customWidth="1"/>
    <col min="14" max="14" width="15.5703125" style="165" customWidth="1"/>
    <col min="15" max="15" width="16.42578125" style="267" customWidth="1"/>
    <col min="16" max="16" width="16.85546875" style="165" customWidth="1"/>
    <col min="17" max="17" width="15.7109375" style="165" customWidth="1"/>
    <col min="18" max="18" width="15.42578125" style="165" customWidth="1"/>
    <col min="19" max="19" width="15" style="165" customWidth="1"/>
    <col min="20" max="20" width="16.5703125" style="165" customWidth="1"/>
    <col min="21" max="21" width="16.28515625" style="165" hidden="1" customWidth="1"/>
    <col min="22" max="22" width="9.140625" style="165" hidden="1" customWidth="1"/>
    <col min="23" max="23" width="0" style="165" hidden="1" customWidth="1"/>
    <col min="24" max="16384" width="9.140625" style="163"/>
  </cols>
  <sheetData>
    <row r="1" spans="1:23" x14ac:dyDescent="0.2">
      <c r="B1" s="162" t="s">
        <v>148</v>
      </c>
      <c r="C1" s="162"/>
      <c r="D1" s="162"/>
      <c r="E1" s="162"/>
      <c r="K1" s="374"/>
      <c r="L1" s="374"/>
      <c r="M1" s="374"/>
      <c r="N1" s="374"/>
      <c r="Q1" s="374"/>
      <c r="R1" s="374"/>
      <c r="S1" s="374"/>
      <c r="T1" s="374"/>
    </row>
    <row r="2" spans="1:23" x14ac:dyDescent="0.2">
      <c r="B2" s="162"/>
      <c r="C2" s="162"/>
      <c r="D2" s="162"/>
      <c r="E2" s="162"/>
      <c r="L2" s="374"/>
      <c r="M2" s="374"/>
      <c r="N2" s="374"/>
      <c r="R2" s="374"/>
      <c r="S2" s="374"/>
      <c r="T2" s="374"/>
    </row>
    <row r="3" spans="1:23" ht="15.75" customHeight="1" x14ac:dyDescent="0.2">
      <c r="A3" s="373" t="s">
        <v>159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</row>
    <row r="4" spans="1:23" x14ac:dyDescent="0.2">
      <c r="A4" s="373" t="s">
        <v>160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1:23" x14ac:dyDescent="0.2">
      <c r="B5" s="374"/>
      <c r="C5" s="374"/>
      <c r="D5" s="374"/>
      <c r="E5" s="374"/>
      <c r="F5" s="374"/>
    </row>
    <row r="6" spans="1:23" x14ac:dyDescent="0.2">
      <c r="A6" s="387" t="s">
        <v>161</v>
      </c>
      <c r="B6" s="381" t="s">
        <v>162</v>
      </c>
      <c r="C6" s="379" t="s">
        <v>163</v>
      </c>
      <c r="D6" s="379" t="s">
        <v>164</v>
      </c>
      <c r="E6" s="383" t="s">
        <v>145</v>
      </c>
      <c r="F6" s="379" t="s">
        <v>165</v>
      </c>
      <c r="G6" s="379" t="s">
        <v>166</v>
      </c>
      <c r="H6" s="383" t="s">
        <v>146</v>
      </c>
      <c r="I6" s="381" t="s">
        <v>167</v>
      </c>
      <c r="J6" s="381"/>
      <c r="K6" s="381"/>
      <c r="L6" s="381"/>
      <c r="M6" s="381"/>
      <c r="N6" s="381"/>
      <c r="O6" s="381" t="s">
        <v>137</v>
      </c>
      <c r="P6" s="381"/>
      <c r="Q6" s="381"/>
      <c r="R6" s="381"/>
      <c r="S6" s="381"/>
      <c r="T6" s="381"/>
      <c r="U6" s="379" t="s">
        <v>142</v>
      </c>
    </row>
    <row r="7" spans="1:23" ht="66" x14ac:dyDescent="0.2">
      <c r="A7" s="387"/>
      <c r="B7" s="381"/>
      <c r="C7" s="386"/>
      <c r="D7" s="380"/>
      <c r="E7" s="384"/>
      <c r="F7" s="380"/>
      <c r="G7" s="380"/>
      <c r="H7" s="384"/>
      <c r="I7" s="166" t="s">
        <v>168</v>
      </c>
      <c r="J7" s="166" t="s">
        <v>169</v>
      </c>
      <c r="K7" s="166" t="s">
        <v>170</v>
      </c>
      <c r="L7" s="166" t="s">
        <v>171</v>
      </c>
      <c r="M7" s="166" t="s">
        <v>172</v>
      </c>
      <c r="N7" s="166" t="s">
        <v>173</v>
      </c>
      <c r="O7" s="167" t="s">
        <v>168</v>
      </c>
      <c r="P7" s="166" t="s">
        <v>169</v>
      </c>
      <c r="Q7" s="166" t="s">
        <v>170</v>
      </c>
      <c r="R7" s="166" t="s">
        <v>171</v>
      </c>
      <c r="S7" s="166" t="s">
        <v>172</v>
      </c>
      <c r="T7" s="166" t="s">
        <v>173</v>
      </c>
      <c r="U7" s="386"/>
    </row>
    <row r="8" spans="1:23" s="176" customFormat="1" ht="66" x14ac:dyDescent="0.2">
      <c r="A8" s="169" t="s">
        <v>174</v>
      </c>
      <c r="B8" s="170" t="s">
        <v>0</v>
      </c>
      <c r="C8" s="171" t="s">
        <v>1</v>
      </c>
      <c r="D8" s="172" t="s">
        <v>2</v>
      </c>
      <c r="E8" s="173">
        <v>1335327.1499999999</v>
      </c>
      <c r="F8" s="174">
        <f t="shared" ref="F8:T8" si="0">F9+F16+F26+F27+F39+F45+F22</f>
        <v>1799873.5719399999</v>
      </c>
      <c r="G8" s="174">
        <f t="shared" si="0"/>
        <v>1866406.5389999996</v>
      </c>
      <c r="H8" s="174"/>
      <c r="I8" s="266">
        <f t="shared" si="0"/>
        <v>22468657.982286252</v>
      </c>
      <c r="J8" s="266">
        <f t="shared" si="0"/>
        <v>3601387.5428215438</v>
      </c>
      <c r="K8" s="266">
        <f t="shared" si="0"/>
        <v>4015252.9921087609</v>
      </c>
      <c r="L8" s="266">
        <f t="shared" si="0"/>
        <v>4430198.2857111599</v>
      </c>
      <c r="M8" s="266">
        <f t="shared" si="0"/>
        <v>4933000.9198971465</v>
      </c>
      <c r="N8" s="266">
        <f t="shared" si="0"/>
        <v>5490812.7977476483</v>
      </c>
      <c r="O8" s="268">
        <f t="shared" si="0"/>
        <v>10273353.240508234</v>
      </c>
      <c r="P8" s="266">
        <f t="shared" si="0"/>
        <v>2201971.0431914735</v>
      </c>
      <c r="Q8" s="266">
        <f t="shared" si="0"/>
        <v>2422002.4633622314</v>
      </c>
      <c r="R8" s="266">
        <f t="shared" si="0"/>
        <v>2635189.7900550053</v>
      </c>
      <c r="S8" s="266">
        <f t="shared" si="0"/>
        <v>2867867.3752560234</v>
      </c>
      <c r="T8" s="266">
        <f t="shared" si="0"/>
        <v>3148805.1229104493</v>
      </c>
      <c r="U8" s="175"/>
      <c r="V8" s="269"/>
      <c r="W8" s="269"/>
    </row>
    <row r="9" spans="1:23" s="182" customFormat="1" ht="33" x14ac:dyDescent="0.2">
      <c r="A9" s="177" t="s">
        <v>3</v>
      </c>
      <c r="B9" s="178" t="s">
        <v>4</v>
      </c>
      <c r="C9" s="179" t="s">
        <v>1</v>
      </c>
      <c r="D9" s="180" t="s">
        <v>2</v>
      </c>
      <c r="E9" s="180"/>
      <c r="F9" s="181">
        <f t="shared" ref="F9:T9" si="1">F10+F12+F14+F15</f>
        <v>445167.71193999995</v>
      </c>
      <c r="G9" s="181">
        <f t="shared" si="1"/>
        <v>488354.75899999996</v>
      </c>
      <c r="H9" s="181"/>
      <c r="I9" s="270">
        <f t="shared" si="1"/>
        <v>5366203.8475463716</v>
      </c>
      <c r="J9" s="270">
        <f t="shared" si="1"/>
        <v>900465.65892629395</v>
      </c>
      <c r="K9" s="270">
        <f t="shared" si="1"/>
        <v>974045.27349252137</v>
      </c>
      <c r="L9" s="270">
        <f t="shared" si="1"/>
        <v>1064376.8686915329</v>
      </c>
      <c r="M9" s="270">
        <f t="shared" si="1"/>
        <v>1157108.8855180885</v>
      </c>
      <c r="N9" s="270">
        <f t="shared" si="1"/>
        <v>1270207.160917935</v>
      </c>
      <c r="O9" s="271">
        <f t="shared" si="1"/>
        <v>3292287.1821660614</v>
      </c>
      <c r="P9" s="270">
        <f t="shared" si="1"/>
        <v>641254.48800000001</v>
      </c>
      <c r="Q9" s="270">
        <f t="shared" si="1"/>
        <v>644728.86306</v>
      </c>
      <c r="R9" s="270">
        <f t="shared" si="1"/>
        <v>657393.41450359998</v>
      </c>
      <c r="S9" s="270">
        <f t="shared" si="1"/>
        <v>666991.28291381605</v>
      </c>
      <c r="T9" s="270">
        <f t="shared" si="1"/>
        <v>681919.13368864497</v>
      </c>
      <c r="U9" s="175"/>
      <c r="V9" s="272"/>
      <c r="W9" s="272"/>
    </row>
    <row r="10" spans="1:23" ht="33" x14ac:dyDescent="0.2">
      <c r="A10" s="183" t="s">
        <v>5</v>
      </c>
      <c r="B10" s="184" t="s">
        <v>6</v>
      </c>
      <c r="C10" s="185" t="s">
        <v>1</v>
      </c>
      <c r="D10" s="186" t="s">
        <v>2</v>
      </c>
      <c r="E10" s="186"/>
      <c r="F10" s="168">
        <f>48746.987+1.18</f>
        <v>48748.167000000001</v>
      </c>
      <c r="G10" s="168">
        <v>51206.038999999997</v>
      </c>
      <c r="H10" s="168"/>
      <c r="I10" s="273">
        <f>SUM(J10:N10)</f>
        <v>1395590.1149188809</v>
      </c>
      <c r="J10" s="273">
        <v>243431.5565914968</v>
      </c>
      <c r="K10" s="273">
        <v>260567.17725275148</v>
      </c>
      <c r="L10" s="273">
        <v>278012.67314594</v>
      </c>
      <c r="M10" s="273">
        <v>295400.44658662687</v>
      </c>
      <c r="N10" s="273">
        <v>318178.2613420657</v>
      </c>
      <c r="O10" s="274">
        <f>SUM(P10:T10)</f>
        <v>306707.24359542259</v>
      </c>
      <c r="P10" s="275">
        <v>54408.760999999999</v>
      </c>
      <c r="Q10" s="273">
        <f>P10*1.06</f>
        <v>57673.286659999998</v>
      </c>
      <c r="R10" s="273">
        <f>Q10*1.06</f>
        <v>61133.683859600002</v>
      </c>
      <c r="S10" s="273">
        <f>R10*1.06</f>
        <v>64801.704891176007</v>
      </c>
      <c r="T10" s="273">
        <f>S10*1.06</f>
        <v>68689.807184646575</v>
      </c>
      <c r="U10" s="175">
        <f t="shared" ref="U10:U73" si="2">J10-P10</f>
        <v>189022.7955914968</v>
      </c>
    </row>
    <row r="11" spans="1:23" hidden="1" x14ac:dyDescent="0.2">
      <c r="A11" s="183" t="s">
        <v>7</v>
      </c>
      <c r="B11" s="184" t="s">
        <v>8</v>
      </c>
      <c r="C11" s="185"/>
      <c r="D11" s="186"/>
      <c r="E11" s="186"/>
      <c r="F11" s="168"/>
      <c r="G11" s="168"/>
      <c r="H11" s="168"/>
      <c r="I11" s="273"/>
      <c r="J11" s="273"/>
      <c r="K11" s="273"/>
      <c r="L11" s="273"/>
      <c r="M11" s="273"/>
      <c r="N11" s="273"/>
      <c r="O11" s="274"/>
      <c r="P11" s="273"/>
      <c r="Q11" s="273"/>
      <c r="R11" s="273"/>
      <c r="S11" s="273"/>
      <c r="T11" s="273"/>
      <c r="U11" s="175">
        <f t="shared" si="2"/>
        <v>0</v>
      </c>
    </row>
    <row r="12" spans="1:23" ht="33" hidden="1" x14ac:dyDescent="0.2">
      <c r="A12" s="183" t="s">
        <v>9</v>
      </c>
      <c r="B12" s="184" t="s">
        <v>10</v>
      </c>
      <c r="C12" s="185" t="s">
        <v>1</v>
      </c>
      <c r="D12" s="186" t="s">
        <v>2</v>
      </c>
      <c r="E12" s="186"/>
      <c r="F12" s="190">
        <v>33237.317000000003</v>
      </c>
      <c r="G12" s="190">
        <v>33754.847000000002</v>
      </c>
      <c r="H12" s="190"/>
      <c r="I12" s="273">
        <f>SUM(J12:N12)</f>
        <v>327636.77157299034</v>
      </c>
      <c r="J12" s="273">
        <v>56972.985733357134</v>
      </c>
      <c r="K12" s="273">
        <v>60961.094734692131</v>
      </c>
      <c r="L12" s="273">
        <v>65228.371366120584</v>
      </c>
      <c r="M12" s="273">
        <v>69794.357361749033</v>
      </c>
      <c r="N12" s="273">
        <v>74679.962377071468</v>
      </c>
      <c r="O12" s="274">
        <f>SUM(P12:T12)</f>
        <v>280844.42457063845</v>
      </c>
      <c r="P12" s="273">
        <v>49820.79</v>
      </c>
      <c r="Q12" s="273">
        <f>P12*1.06</f>
        <v>52810.037400000001</v>
      </c>
      <c r="R12" s="273">
        <f>Q12*1.06</f>
        <v>55978.639644000003</v>
      </c>
      <c r="S12" s="273">
        <f>R12*1.06</f>
        <v>59337.358022640008</v>
      </c>
      <c r="T12" s="273">
        <f>S12*1.06</f>
        <v>62897.599503998412</v>
      </c>
      <c r="U12" s="175">
        <f t="shared" si="2"/>
        <v>7152.1957333571336</v>
      </c>
    </row>
    <row r="13" spans="1:23" hidden="1" x14ac:dyDescent="0.2">
      <c r="A13" s="183" t="s">
        <v>11</v>
      </c>
      <c r="B13" s="184" t="s">
        <v>12</v>
      </c>
      <c r="C13" s="185"/>
      <c r="D13" s="186"/>
      <c r="E13" s="186"/>
      <c r="F13" s="190"/>
      <c r="G13" s="190"/>
      <c r="H13" s="190"/>
      <c r="I13" s="273"/>
      <c r="J13" s="273"/>
      <c r="K13" s="273"/>
      <c r="L13" s="273"/>
      <c r="M13" s="273"/>
      <c r="N13" s="273"/>
      <c r="O13" s="274"/>
      <c r="P13" s="275"/>
      <c r="Q13" s="273"/>
      <c r="R13" s="273"/>
      <c r="S13" s="273"/>
      <c r="T13" s="273"/>
      <c r="U13" s="175">
        <f t="shared" si="2"/>
        <v>0</v>
      </c>
    </row>
    <row r="14" spans="1:23" ht="33" hidden="1" x14ac:dyDescent="0.2">
      <c r="A14" s="183" t="s">
        <v>13</v>
      </c>
      <c r="B14" s="184" t="s">
        <v>14</v>
      </c>
      <c r="C14" s="185" t="s">
        <v>1</v>
      </c>
      <c r="D14" s="186" t="s">
        <v>2</v>
      </c>
      <c r="E14" s="186"/>
      <c r="F14" s="191">
        <f>34684828.94/1000</f>
        <v>34684.828939999999</v>
      </c>
      <c r="G14" s="191">
        <v>36443.697999999997</v>
      </c>
      <c r="H14" s="191"/>
      <c r="I14" s="273">
        <f>SUM(J14:N14)</f>
        <v>258908.51003852734</v>
      </c>
      <c r="J14" s="273">
        <v>43092.706789680007</v>
      </c>
      <c r="K14" s="273">
        <v>47053.871375675786</v>
      </c>
      <c r="L14" s="273">
        <v>51381.064061201112</v>
      </c>
      <c r="M14" s="273">
        <v>56108.261386295657</v>
      </c>
      <c r="N14" s="273">
        <v>61272.60642567477</v>
      </c>
      <c r="O14" s="274">
        <f>SUM(P14:T14)</f>
        <v>150108.73499999999</v>
      </c>
      <c r="P14" s="273">
        <v>30021.746999999999</v>
      </c>
      <c r="Q14" s="273">
        <v>30021.746999999999</v>
      </c>
      <c r="R14" s="273">
        <v>30021.746999999999</v>
      </c>
      <c r="S14" s="273">
        <v>30021.746999999999</v>
      </c>
      <c r="T14" s="273">
        <v>30021.746999999999</v>
      </c>
      <c r="U14" s="175">
        <f t="shared" si="2"/>
        <v>13070.959789680008</v>
      </c>
    </row>
    <row r="15" spans="1:23" ht="87" customHeight="1" x14ac:dyDescent="0.2">
      <c r="A15" s="192" t="s">
        <v>15</v>
      </c>
      <c r="B15" s="193" t="s">
        <v>16</v>
      </c>
      <c r="C15" s="194" t="s">
        <v>1</v>
      </c>
      <c r="D15" s="195" t="s">
        <v>2</v>
      </c>
      <c r="E15" s="195"/>
      <c r="F15" s="196">
        <f>325122.535+3374.864</f>
        <v>328497.39899999998</v>
      </c>
      <c r="G15" s="196">
        <f>362988.131+3962.044</f>
        <v>366950.17499999999</v>
      </c>
      <c r="H15" s="196">
        <v>573255.80000000005</v>
      </c>
      <c r="I15" s="276">
        <f>SUM(J15:N15)</f>
        <v>3384068.451015973</v>
      </c>
      <c r="J15" s="276">
        <v>556968.40981176007</v>
      </c>
      <c r="K15" s="273">
        <v>605463.13012940204</v>
      </c>
      <c r="L15" s="273">
        <v>669754.76011827122</v>
      </c>
      <c r="M15" s="273">
        <v>735805.82018341683</v>
      </c>
      <c r="N15" s="273">
        <v>816076.33077312307</v>
      </c>
      <c r="O15" s="277">
        <f>SUM(P15:T15)</f>
        <v>2554626.7790000001</v>
      </c>
      <c r="P15" s="278">
        <v>507003.19</v>
      </c>
      <c r="Q15" s="273">
        <f>499554.292+4669.5</f>
        <v>504223.79200000002</v>
      </c>
      <c r="R15" s="273">
        <f>505589.844+4669.5</f>
        <v>510259.34399999998</v>
      </c>
      <c r="S15" s="273">
        <f>508160.973+4669.5</f>
        <v>512830.473</v>
      </c>
      <c r="T15" s="273">
        <f>515640.48+4669.5</f>
        <v>520309.98</v>
      </c>
      <c r="U15" s="175">
        <f t="shared" si="2"/>
        <v>49965.219811760064</v>
      </c>
    </row>
    <row r="16" spans="1:23" s="201" customFormat="1" ht="53.25" customHeight="1" x14ac:dyDescent="0.2">
      <c r="A16" s="197" t="s">
        <v>17</v>
      </c>
      <c r="B16" s="198" t="s">
        <v>18</v>
      </c>
      <c r="C16" s="179" t="s">
        <v>1</v>
      </c>
      <c r="D16" s="180" t="s">
        <v>2</v>
      </c>
      <c r="E16" s="199"/>
      <c r="F16" s="200">
        <f>F17+F20+F21</f>
        <v>839845.41600000008</v>
      </c>
      <c r="G16" s="200">
        <f>G17+G20+G21</f>
        <v>864144.10400000005</v>
      </c>
      <c r="H16" s="200"/>
      <c r="I16" s="270">
        <f t="shared" ref="I16:T16" si="3">I17+I20+I21</f>
        <v>11709654.941163084</v>
      </c>
      <c r="J16" s="270">
        <f t="shared" si="3"/>
        <v>1939127.5020875337</v>
      </c>
      <c r="K16" s="270">
        <f t="shared" si="3"/>
        <v>2116943.7761680377</v>
      </c>
      <c r="L16" s="270">
        <f t="shared" si="3"/>
        <v>2327221.0353844529</v>
      </c>
      <c r="M16" s="270">
        <f t="shared" si="3"/>
        <v>2546457.3049798761</v>
      </c>
      <c r="N16" s="270">
        <f t="shared" si="3"/>
        <v>2779905.3225431838</v>
      </c>
      <c r="O16" s="271">
        <f t="shared" si="3"/>
        <v>5637131.028633452</v>
      </c>
      <c r="P16" s="270">
        <f t="shared" si="3"/>
        <v>1000004.7472000001</v>
      </c>
      <c r="Q16" s="270">
        <f t="shared" si="3"/>
        <v>1060006.0084320002</v>
      </c>
      <c r="R16" s="270">
        <f t="shared" si="3"/>
        <v>1123607.4310828783</v>
      </c>
      <c r="S16" s="270">
        <f t="shared" si="3"/>
        <v>1191025.0373942</v>
      </c>
      <c r="T16" s="270">
        <f t="shared" si="3"/>
        <v>1262487.8045243723</v>
      </c>
      <c r="U16" s="175">
        <f t="shared" si="2"/>
        <v>939122.75488753361</v>
      </c>
      <c r="V16" s="279"/>
      <c r="W16" s="279"/>
    </row>
    <row r="17" spans="1:23" s="203" customFormat="1" ht="46.5" customHeight="1" x14ac:dyDescent="0.2">
      <c r="A17" s="192" t="s">
        <v>19</v>
      </c>
      <c r="B17" s="202" t="s">
        <v>20</v>
      </c>
      <c r="C17" s="194" t="s">
        <v>1</v>
      </c>
      <c r="D17" s="195" t="s">
        <v>2</v>
      </c>
      <c r="E17" s="195">
        <v>537617.71</v>
      </c>
      <c r="F17" s="193">
        <v>763136.12600000005</v>
      </c>
      <c r="G17" s="193">
        <v>785225.40800000005</v>
      </c>
      <c r="H17" s="193"/>
      <c r="I17" s="276">
        <f t="shared" ref="I17:I60" si="4">SUM(J17:N17)</f>
        <v>10654649.767108399</v>
      </c>
      <c r="J17" s="276">
        <v>1764417.6020064</v>
      </c>
      <c r="K17" s="273">
        <v>1926213.1833595203</v>
      </c>
      <c r="L17" s="273">
        <v>2117545.3629112784</v>
      </c>
      <c r="M17" s="273">
        <v>2317029.2466750424</v>
      </c>
      <c r="N17" s="273">
        <v>2529444.372156159</v>
      </c>
      <c r="O17" s="277">
        <f>SUM(P17:T17)</f>
        <v>5129150.2972346898</v>
      </c>
      <c r="P17" s="276">
        <f>P18*P19*12/1000</f>
        <v>909892.8</v>
      </c>
      <c r="Q17" s="273">
        <f>Q18*Q19*12/1000</f>
        <v>964486.36800000025</v>
      </c>
      <c r="R17" s="273">
        <f>R18*R19*12/1000</f>
        <v>1022355.5500800002</v>
      </c>
      <c r="S17" s="273">
        <f>S18*S19*12/1000</f>
        <v>1083696.8830848003</v>
      </c>
      <c r="T17" s="273">
        <f>T18*T19*12/1000</f>
        <v>1148718.6960698883</v>
      </c>
      <c r="U17" s="175">
        <f t="shared" si="2"/>
        <v>854524.80200639996</v>
      </c>
      <c r="V17" s="280">
        <f>P17/J17*100-100</f>
        <v>-48.430983744136348</v>
      </c>
      <c r="W17" s="280"/>
    </row>
    <row r="18" spans="1:23" s="209" customFormat="1" x14ac:dyDescent="0.2">
      <c r="A18" s="204"/>
      <c r="B18" s="205" t="s">
        <v>138</v>
      </c>
      <c r="C18" s="206"/>
      <c r="D18" s="207"/>
      <c r="E18" s="207">
        <f>E17/E19/12*1000</f>
        <v>41559.810606060601</v>
      </c>
      <c r="F18" s="208"/>
      <c r="G18" s="208"/>
      <c r="H18" s="208"/>
      <c r="I18" s="281"/>
      <c r="J18" s="281">
        <v>123454.91</v>
      </c>
      <c r="K18" s="281"/>
      <c r="L18" s="281"/>
      <c r="M18" s="281"/>
      <c r="N18" s="281"/>
      <c r="O18" s="282"/>
      <c r="P18" s="283">
        <v>84720</v>
      </c>
      <c r="Q18" s="281">
        <f>P18*1.06</f>
        <v>89803.200000000012</v>
      </c>
      <c r="R18" s="281">
        <f>Q18*1.06</f>
        <v>95191.392000000022</v>
      </c>
      <c r="S18" s="281">
        <f>R18*1.06</f>
        <v>100902.87552000003</v>
      </c>
      <c r="T18" s="281">
        <f>S18*1.06</f>
        <v>106957.04805120004</v>
      </c>
      <c r="U18" s="175"/>
      <c r="V18" s="284"/>
      <c r="W18" s="284"/>
    </row>
    <row r="19" spans="1:23" s="209" customFormat="1" x14ac:dyDescent="0.2">
      <c r="A19" s="204"/>
      <c r="B19" s="205" t="s">
        <v>139</v>
      </c>
      <c r="C19" s="206"/>
      <c r="D19" s="207"/>
      <c r="E19" s="207">
        <v>1078</v>
      </c>
      <c r="F19" s="208"/>
      <c r="G19" s="208"/>
      <c r="H19" s="208"/>
      <c r="I19" s="281"/>
      <c r="J19" s="281">
        <v>1191</v>
      </c>
      <c r="K19" s="281"/>
      <c r="L19" s="281"/>
      <c r="M19" s="281"/>
      <c r="N19" s="281"/>
      <c r="O19" s="282"/>
      <c r="P19" s="285">
        <v>895</v>
      </c>
      <c r="Q19" s="285">
        <v>895</v>
      </c>
      <c r="R19" s="285">
        <v>895</v>
      </c>
      <c r="S19" s="285">
        <v>895</v>
      </c>
      <c r="T19" s="285">
        <v>895</v>
      </c>
      <c r="U19" s="175"/>
      <c r="V19" s="284"/>
      <c r="W19" s="284"/>
    </row>
    <row r="20" spans="1:23" s="203" customFormat="1" ht="33" hidden="1" x14ac:dyDescent="0.2">
      <c r="A20" s="183" t="s">
        <v>21</v>
      </c>
      <c r="B20" s="184" t="s">
        <v>22</v>
      </c>
      <c r="C20" s="185" t="s">
        <v>1</v>
      </c>
      <c r="D20" s="186" t="s">
        <v>2</v>
      </c>
      <c r="E20" s="186"/>
      <c r="F20" s="168">
        <v>76474.748000000007</v>
      </c>
      <c r="G20" s="168">
        <v>78686.679000000004</v>
      </c>
      <c r="H20" s="168"/>
      <c r="I20" s="273">
        <f t="shared" si="4"/>
        <v>1054810.3269437316</v>
      </c>
      <c r="J20" s="273">
        <v>174677.34259863361</v>
      </c>
      <c r="K20" s="273">
        <v>190695.1051525925</v>
      </c>
      <c r="L20" s="273">
        <v>209636.99092821658</v>
      </c>
      <c r="M20" s="273">
        <v>229385.89542082921</v>
      </c>
      <c r="N20" s="273">
        <v>250414.99284345974</v>
      </c>
      <c r="O20" s="274">
        <f>SUM(P20:T20)</f>
        <v>507785.87942623429</v>
      </c>
      <c r="P20" s="273">
        <f>P17*0.099</f>
        <v>90079.387200000012</v>
      </c>
      <c r="Q20" s="273">
        <f>Q17*0.099</f>
        <v>95484.150432000024</v>
      </c>
      <c r="R20" s="273">
        <f>R17*0.099</f>
        <v>101213.19945792003</v>
      </c>
      <c r="S20" s="273">
        <f>S17*0.099</f>
        <v>107285.99142539523</v>
      </c>
      <c r="T20" s="273">
        <f>T17*0.099</f>
        <v>113723.15091091895</v>
      </c>
      <c r="U20" s="175">
        <f t="shared" si="2"/>
        <v>84597.955398633596</v>
      </c>
      <c r="V20" s="280"/>
      <c r="W20" s="280"/>
    </row>
    <row r="21" spans="1:23" s="203" customFormat="1" ht="49.5" hidden="1" x14ac:dyDescent="0.2">
      <c r="A21" s="183" t="s">
        <v>23</v>
      </c>
      <c r="B21" s="184" t="s">
        <v>24</v>
      </c>
      <c r="C21" s="185" t="s">
        <v>1</v>
      </c>
      <c r="D21" s="186" t="s">
        <v>2</v>
      </c>
      <c r="E21" s="186"/>
      <c r="F21" s="187">
        <v>234.542</v>
      </c>
      <c r="G21" s="187">
        <v>232.017</v>
      </c>
      <c r="H21" s="187"/>
      <c r="I21" s="273">
        <f t="shared" si="4"/>
        <v>194.84711095263938</v>
      </c>
      <c r="J21" s="273">
        <v>32.557482500000006</v>
      </c>
      <c r="K21" s="273">
        <v>35.487655925000006</v>
      </c>
      <c r="L21" s="273">
        <v>38.681544958250008</v>
      </c>
      <c r="M21" s="273">
        <v>42.162884004492511</v>
      </c>
      <c r="N21" s="273">
        <v>45.957543564896838</v>
      </c>
      <c r="O21" s="274">
        <f>SUM(P21:T21)</f>
        <v>194.85197252763939</v>
      </c>
      <c r="P21" s="273">
        <v>32.56</v>
      </c>
      <c r="Q21" s="273">
        <v>35.49</v>
      </c>
      <c r="R21" s="273">
        <v>38.681544958250008</v>
      </c>
      <c r="S21" s="273">
        <v>42.162884004492511</v>
      </c>
      <c r="T21" s="273">
        <v>45.957543564896838</v>
      </c>
      <c r="U21" s="175"/>
      <c r="V21" s="280"/>
      <c r="W21" s="280"/>
    </row>
    <row r="22" spans="1:23" s="182" customFormat="1" ht="33.75" customHeight="1" x14ac:dyDescent="0.2">
      <c r="A22" s="177" t="s">
        <v>25</v>
      </c>
      <c r="B22" s="210" t="s">
        <v>26</v>
      </c>
      <c r="C22" s="179" t="s">
        <v>1</v>
      </c>
      <c r="D22" s="180" t="s">
        <v>2</v>
      </c>
      <c r="E22" s="180"/>
      <c r="F22" s="211">
        <f>F23+F24</f>
        <v>320052.28400000004</v>
      </c>
      <c r="G22" s="211">
        <f>G23+G24</f>
        <v>324650.34599999996</v>
      </c>
      <c r="H22" s="211">
        <v>323800</v>
      </c>
      <c r="I22" s="270">
        <f t="shared" si="4"/>
        <v>2956893.8828077731</v>
      </c>
      <c r="J22" s="270">
        <v>356049.94847137632</v>
      </c>
      <c r="K22" s="270">
        <v>447168.38760164223</v>
      </c>
      <c r="L22" s="270">
        <v>568689.86953182251</v>
      </c>
      <c r="M22" s="270">
        <v>711511.19043510093</v>
      </c>
      <c r="N22" s="270">
        <v>873474.48676783137</v>
      </c>
      <c r="O22" s="271"/>
      <c r="P22" s="270">
        <v>356049.94847137632</v>
      </c>
      <c r="Q22" s="270">
        <v>447168.38760164223</v>
      </c>
      <c r="R22" s="270">
        <v>568689.86953182251</v>
      </c>
      <c r="S22" s="270">
        <v>711511.19043510093</v>
      </c>
      <c r="T22" s="270">
        <v>873474.48676783137</v>
      </c>
      <c r="U22" s="175"/>
      <c r="V22" s="272"/>
      <c r="W22" s="272"/>
    </row>
    <row r="23" spans="1:23" ht="33" hidden="1" outlineLevel="1" x14ac:dyDescent="0.2">
      <c r="A23" s="183"/>
      <c r="B23" s="184" t="s">
        <v>27</v>
      </c>
      <c r="C23" s="185" t="s">
        <v>1</v>
      </c>
      <c r="D23" s="186" t="s">
        <v>2</v>
      </c>
      <c r="E23" s="186"/>
      <c r="F23" s="168">
        <v>944.66099999999994</v>
      </c>
      <c r="G23" s="168">
        <v>946.024</v>
      </c>
      <c r="H23" s="168"/>
      <c r="I23" s="273">
        <f t="shared" si="4"/>
        <v>0</v>
      </c>
      <c r="J23" s="273"/>
      <c r="K23" s="273"/>
      <c r="L23" s="273"/>
      <c r="M23" s="273"/>
      <c r="N23" s="273"/>
      <c r="O23" s="274"/>
      <c r="P23" s="273"/>
      <c r="Q23" s="273"/>
      <c r="R23" s="273"/>
      <c r="S23" s="273"/>
      <c r="T23" s="273"/>
      <c r="U23" s="175"/>
    </row>
    <row r="24" spans="1:23" ht="33" hidden="1" outlineLevel="1" x14ac:dyDescent="0.2">
      <c r="A24" s="183"/>
      <c r="B24" s="187" t="s">
        <v>28</v>
      </c>
      <c r="C24" s="185" t="s">
        <v>1</v>
      </c>
      <c r="D24" s="186" t="s">
        <v>2</v>
      </c>
      <c r="E24" s="186"/>
      <c r="F24" s="168">
        <v>319107.62300000002</v>
      </c>
      <c r="G24" s="168">
        <v>323704.32199999999</v>
      </c>
      <c r="H24" s="168"/>
      <c r="I24" s="273">
        <f t="shared" si="4"/>
        <v>0</v>
      </c>
      <c r="J24" s="273"/>
      <c r="K24" s="273"/>
      <c r="L24" s="273"/>
      <c r="M24" s="273"/>
      <c r="N24" s="273"/>
      <c r="O24" s="274"/>
      <c r="P24" s="273"/>
      <c r="Q24" s="273"/>
      <c r="R24" s="273"/>
      <c r="S24" s="273"/>
      <c r="T24" s="273"/>
      <c r="U24" s="175"/>
    </row>
    <row r="25" spans="1:23" s="182" customFormat="1" ht="30.75" customHeight="1" collapsed="1" x14ac:dyDescent="0.2">
      <c r="A25" s="177" t="s">
        <v>29</v>
      </c>
      <c r="B25" s="200" t="s">
        <v>30</v>
      </c>
      <c r="C25" s="212" t="s">
        <v>1</v>
      </c>
      <c r="D25" s="180" t="s">
        <v>2</v>
      </c>
      <c r="E25" s="180"/>
      <c r="F25" s="181">
        <f>F26</f>
        <v>97961.56</v>
      </c>
      <c r="G25" s="181">
        <f>G26</f>
        <v>93616.365999999995</v>
      </c>
      <c r="H25" s="181"/>
      <c r="I25" s="270">
        <f t="shared" ref="I25:N25" si="5">I26</f>
        <v>1667189.0600838566</v>
      </c>
      <c r="J25" s="270">
        <f t="shared" si="5"/>
        <v>272764.4323708351</v>
      </c>
      <c r="K25" s="270">
        <f t="shared" si="5"/>
        <v>335013.72199742129</v>
      </c>
      <c r="L25" s="270">
        <f t="shared" si="5"/>
        <v>318175.86927500006</v>
      </c>
      <c r="M25" s="270">
        <f t="shared" si="5"/>
        <v>357754.38045310002</v>
      </c>
      <c r="N25" s="270">
        <f t="shared" si="5"/>
        <v>383480.65598750004</v>
      </c>
      <c r="O25" s="271">
        <f>P25+Q25+R25+S25+T25</f>
        <v>817395.6399999999</v>
      </c>
      <c r="P25" s="270">
        <v>103926.48</v>
      </c>
      <c r="Q25" s="270">
        <v>163401.60999999999</v>
      </c>
      <c r="R25" s="270">
        <v>172872.08</v>
      </c>
      <c r="S25" s="270">
        <v>183177.68</v>
      </c>
      <c r="T25" s="270">
        <v>194017.79</v>
      </c>
      <c r="U25" s="175"/>
      <c r="V25" s="272"/>
      <c r="W25" s="272"/>
    </row>
    <row r="26" spans="1:23" s="220" customFormat="1" ht="66" hidden="1" x14ac:dyDescent="0.2">
      <c r="A26" s="213" t="s">
        <v>31</v>
      </c>
      <c r="B26" s="214" t="s">
        <v>32</v>
      </c>
      <c r="C26" s="215" t="s">
        <v>1</v>
      </c>
      <c r="D26" s="216" t="s">
        <v>2</v>
      </c>
      <c r="E26" s="216"/>
      <c r="F26" s="189">
        <v>97961.56</v>
      </c>
      <c r="G26" s="189">
        <f>93447.095+169.271</f>
        <v>93616.365999999995</v>
      </c>
      <c r="H26" s="189"/>
      <c r="I26" s="275">
        <f t="shared" si="4"/>
        <v>1667189.0600838566</v>
      </c>
      <c r="J26" s="275">
        <v>272764.4323708351</v>
      </c>
      <c r="K26" s="275">
        <v>335013.72199742129</v>
      </c>
      <c r="L26" s="275">
        <v>318175.86927500006</v>
      </c>
      <c r="M26" s="275">
        <v>357754.38045310002</v>
      </c>
      <c r="N26" s="275">
        <v>383480.65598750004</v>
      </c>
      <c r="O26" s="274">
        <f>SUM(P26:T26)</f>
        <v>817395.6399999999</v>
      </c>
      <c r="P26" s="286">
        <v>103926.48</v>
      </c>
      <c r="Q26" s="286">
        <v>163401.60999999999</v>
      </c>
      <c r="R26" s="286">
        <v>172872.08</v>
      </c>
      <c r="S26" s="286">
        <v>183177.68</v>
      </c>
      <c r="T26" s="275">
        <v>194017.79</v>
      </c>
      <c r="U26" s="219"/>
      <c r="V26" s="287"/>
      <c r="W26" s="287"/>
    </row>
    <row r="27" spans="1:23" s="162" customFormat="1" ht="66" hidden="1" x14ac:dyDescent="0.2">
      <c r="A27" s="221" t="s">
        <v>33</v>
      </c>
      <c r="B27" s="222" t="s">
        <v>34</v>
      </c>
      <c r="C27" s="185" t="s">
        <v>1</v>
      </c>
      <c r="D27" s="186" t="s">
        <v>2</v>
      </c>
      <c r="E27" s="186"/>
      <c r="F27" s="223">
        <f t="shared" ref="F27:O27" si="6">F28+F29+F30+F31+F32+F33+F34+F35+F36+F37+F38</f>
        <v>37977.375</v>
      </c>
      <c r="G27" s="223">
        <f t="shared" si="6"/>
        <v>44774.425000000003</v>
      </c>
      <c r="H27" s="223"/>
      <c r="I27" s="288">
        <f t="shared" si="6"/>
        <v>278437.78870574408</v>
      </c>
      <c r="J27" s="288">
        <f t="shared" si="6"/>
        <v>45294.922628904962</v>
      </c>
      <c r="K27" s="288">
        <f t="shared" si="6"/>
        <v>49024.005105428303</v>
      </c>
      <c r="L27" s="288">
        <f t="shared" si="6"/>
        <v>52419.236414395295</v>
      </c>
      <c r="M27" s="288">
        <f t="shared" si="6"/>
        <v>56736.520122611684</v>
      </c>
      <c r="N27" s="288">
        <f t="shared" si="6"/>
        <v>74963.104434403838</v>
      </c>
      <c r="O27" s="271">
        <f t="shared" si="6"/>
        <v>264291.6505689022</v>
      </c>
      <c r="P27" s="288">
        <f>P28+P29+P30+P31+P32+P33+P34+P35+P36+P37+P38</f>
        <v>45030.45076</v>
      </c>
      <c r="Q27" s="288">
        <f>Q28+Q29+Q30+Q31+Q32+Q33+Q34+Q35+Q36+Q37+Q38</f>
        <v>47610.010025600001</v>
      </c>
      <c r="R27" s="288">
        <f>R28+R29+R30+R31+R32+R33+R34+R35+R36+R37+R38</f>
        <v>49950.970747136016</v>
      </c>
      <c r="S27" s="288">
        <f>S28+S29+S30+S31+S32+S33+S34+S35+S36+S37+S38</f>
        <v>51885.249571964159</v>
      </c>
      <c r="T27" s="288">
        <f>T28+T29+T30+T31+T32+T33+T34+T35+T36+T37+T38</f>
        <v>69814.969464202019</v>
      </c>
      <c r="U27" s="175">
        <f t="shared" si="2"/>
        <v>264.47186890496232</v>
      </c>
      <c r="V27" s="255"/>
      <c r="W27" s="255"/>
    </row>
    <row r="28" spans="1:23" ht="33" hidden="1" x14ac:dyDescent="0.2">
      <c r="A28" s="183" t="s">
        <v>35</v>
      </c>
      <c r="B28" s="184" t="s">
        <v>36</v>
      </c>
      <c r="C28" s="185" t="s">
        <v>1</v>
      </c>
      <c r="D28" s="186" t="s">
        <v>2</v>
      </c>
      <c r="E28" s="186"/>
      <c r="F28" s="168">
        <v>8040.4539999999997</v>
      </c>
      <c r="G28" s="168">
        <v>8066.96</v>
      </c>
      <c r="H28" s="168"/>
      <c r="I28" s="273">
        <f t="shared" si="4"/>
        <v>52023.766000000003</v>
      </c>
      <c r="J28" s="273">
        <v>9046.4490000000005</v>
      </c>
      <c r="K28" s="273">
        <v>9679.7000000000007</v>
      </c>
      <c r="L28" s="273">
        <v>10357.279</v>
      </c>
      <c r="M28" s="273">
        <v>11082.289000000001</v>
      </c>
      <c r="N28" s="273">
        <v>11858.048999999999</v>
      </c>
      <c r="O28" s="274">
        <f t="shared" ref="O28:O37" si="7">SUM(P28:T28)</f>
        <v>50926.90143678704</v>
      </c>
      <c r="P28" s="273">
        <v>9034.2489999999998</v>
      </c>
      <c r="Q28" s="273">
        <f t="shared" ref="Q28:T29" si="8">P28*1.06</f>
        <v>9576.3039399999998</v>
      </c>
      <c r="R28" s="273">
        <f t="shared" si="8"/>
        <v>10150.8821764</v>
      </c>
      <c r="S28" s="273">
        <f t="shared" si="8"/>
        <v>10759.935106984001</v>
      </c>
      <c r="T28" s="273">
        <f t="shared" si="8"/>
        <v>11405.531213403043</v>
      </c>
      <c r="U28" s="175">
        <f t="shared" si="2"/>
        <v>12.200000000000728</v>
      </c>
    </row>
    <row r="29" spans="1:23" ht="49.5" hidden="1" x14ac:dyDescent="0.2">
      <c r="A29" s="183" t="s">
        <v>37</v>
      </c>
      <c r="B29" s="187" t="s">
        <v>38</v>
      </c>
      <c r="C29" s="185" t="s">
        <v>1</v>
      </c>
      <c r="D29" s="186" t="s">
        <v>2</v>
      </c>
      <c r="E29" s="186"/>
      <c r="F29" s="168">
        <v>5246.6139999999996</v>
      </c>
      <c r="G29" s="168">
        <v>5848.2020000000002</v>
      </c>
      <c r="H29" s="168"/>
      <c r="I29" s="273">
        <f t="shared" si="4"/>
        <v>43845</v>
      </c>
      <c r="J29" s="273">
        <v>7627.4999999999991</v>
      </c>
      <c r="K29" s="273">
        <v>8160.0000000000009</v>
      </c>
      <c r="L29" s="273">
        <v>8730</v>
      </c>
      <c r="M29" s="273">
        <v>9337.5</v>
      </c>
      <c r="N29" s="273">
        <v>9990</v>
      </c>
      <c r="O29" s="274">
        <f t="shared" si="7"/>
        <v>42574.144580400003</v>
      </c>
      <c r="P29" s="273">
        <f>7500*0.95*1.06</f>
        <v>7552.5</v>
      </c>
      <c r="Q29" s="273">
        <f t="shared" si="8"/>
        <v>8005.6500000000005</v>
      </c>
      <c r="R29" s="273">
        <f t="shared" si="8"/>
        <v>8485.9890000000014</v>
      </c>
      <c r="S29" s="273">
        <f t="shared" si="8"/>
        <v>8995.1483400000016</v>
      </c>
      <c r="T29" s="273">
        <f t="shared" si="8"/>
        <v>9534.8572404000024</v>
      </c>
      <c r="U29" s="175">
        <f t="shared" si="2"/>
        <v>74.999999999999091</v>
      </c>
    </row>
    <row r="30" spans="1:23" ht="33" hidden="1" x14ac:dyDescent="0.2">
      <c r="A30" s="183" t="s">
        <v>39</v>
      </c>
      <c r="B30" s="187" t="s">
        <v>175</v>
      </c>
      <c r="C30" s="185" t="s">
        <v>1</v>
      </c>
      <c r="D30" s="186" t="s">
        <v>2</v>
      </c>
      <c r="E30" s="186"/>
      <c r="F30" s="187">
        <v>16537.786</v>
      </c>
      <c r="G30" s="187">
        <v>18467.853999999999</v>
      </c>
      <c r="H30" s="187"/>
      <c r="I30" s="273">
        <f t="shared" si="4"/>
        <v>122122.88425494762</v>
      </c>
      <c r="J30" s="273">
        <v>21236.033150276387</v>
      </c>
      <c r="K30" s="273">
        <v>22722.555470795738</v>
      </c>
      <c r="L30" s="273">
        <v>24313.13435375144</v>
      </c>
      <c r="M30" s="273">
        <v>26015.053758514045</v>
      </c>
      <c r="N30" s="273">
        <v>27836.107521610025</v>
      </c>
      <c r="O30" s="274">
        <f t="shared" si="7"/>
        <v>118847.18</v>
      </c>
      <c r="P30" s="275">
        <v>22258.019</v>
      </c>
      <c r="Q30" s="273">
        <v>22886.513999999999</v>
      </c>
      <c r="R30" s="273">
        <v>23588.77</v>
      </c>
      <c r="S30" s="273">
        <v>24327.127</v>
      </c>
      <c r="T30" s="273">
        <v>25786.75</v>
      </c>
      <c r="U30" s="175">
        <f>I30-O30</f>
        <v>3275.7042549476319</v>
      </c>
    </row>
    <row r="31" spans="1:23" ht="33" hidden="1" x14ac:dyDescent="0.2">
      <c r="A31" s="183" t="s">
        <v>176</v>
      </c>
      <c r="B31" s="187" t="s">
        <v>177</v>
      </c>
      <c r="C31" s="185" t="s">
        <v>1</v>
      </c>
      <c r="D31" s="186" t="s">
        <v>2</v>
      </c>
      <c r="E31" s="186"/>
      <c r="F31" s="168">
        <v>361.452</v>
      </c>
      <c r="G31" s="168">
        <v>355.185</v>
      </c>
      <c r="H31" s="168"/>
      <c r="I31" s="273">
        <f t="shared" si="4"/>
        <v>2069.9482991676286</v>
      </c>
      <c r="J31" s="273">
        <v>359.94474720000005</v>
      </c>
      <c r="K31" s="273">
        <f>J31*1.07</f>
        <v>385.14087950400005</v>
      </c>
      <c r="L31" s="273">
        <f>K31*1.07</f>
        <v>412.1007410692801</v>
      </c>
      <c r="M31" s="273">
        <f>L31*1.07</f>
        <v>440.94779294412973</v>
      </c>
      <c r="N31" s="273">
        <f>M31*1.07</f>
        <v>471.81413845021882</v>
      </c>
      <c r="O31" s="274">
        <f t="shared" si="7"/>
        <v>2010.0732547744901</v>
      </c>
      <c r="P31" s="273">
        <v>356.57976000000002</v>
      </c>
      <c r="Q31" s="273">
        <f t="shared" ref="Q31:T35" si="9">P31*1.06</f>
        <v>377.97454560000006</v>
      </c>
      <c r="R31" s="273">
        <f t="shared" si="9"/>
        <v>400.65301833600006</v>
      </c>
      <c r="S31" s="273">
        <f t="shared" si="9"/>
        <v>424.69219943616008</v>
      </c>
      <c r="T31" s="273">
        <f t="shared" si="9"/>
        <v>450.17373140232974</v>
      </c>
      <c r="U31" s="175">
        <f t="shared" si="2"/>
        <v>3.36498720000003</v>
      </c>
    </row>
    <row r="32" spans="1:23" ht="33" hidden="1" x14ac:dyDescent="0.2">
      <c r="A32" s="183" t="s">
        <v>178</v>
      </c>
      <c r="B32" s="187" t="s">
        <v>179</v>
      </c>
      <c r="C32" s="185" t="s">
        <v>1</v>
      </c>
      <c r="D32" s="186" t="s">
        <v>2</v>
      </c>
      <c r="E32" s="186"/>
      <c r="F32" s="187">
        <v>54</v>
      </c>
      <c r="G32" s="187">
        <v>54</v>
      </c>
      <c r="H32" s="187"/>
      <c r="I32" s="273">
        <f t="shared" si="4"/>
        <v>382.11935499747011</v>
      </c>
      <c r="J32" s="273">
        <v>66.447000000000003</v>
      </c>
      <c r="K32" s="273">
        <v>71.098290000000006</v>
      </c>
      <c r="L32" s="273">
        <v>76.075170300000011</v>
      </c>
      <c r="M32" s="273">
        <v>81.400432221000031</v>
      </c>
      <c r="N32" s="273">
        <v>87.098462476470033</v>
      </c>
      <c r="O32" s="274">
        <f t="shared" si="7"/>
        <v>371.06728118496005</v>
      </c>
      <c r="P32" s="273">
        <v>65.825999999999993</v>
      </c>
      <c r="Q32" s="273">
        <f t="shared" si="9"/>
        <v>69.775559999999999</v>
      </c>
      <c r="R32" s="273">
        <f t="shared" si="9"/>
        <v>73.962093600000003</v>
      </c>
      <c r="S32" s="273">
        <f t="shared" si="9"/>
        <v>78.399819216000012</v>
      </c>
      <c r="T32" s="273">
        <f t="shared" si="9"/>
        <v>83.103808368960017</v>
      </c>
      <c r="U32" s="175">
        <f t="shared" si="2"/>
        <v>0.62100000000000932</v>
      </c>
    </row>
    <row r="33" spans="1:23" ht="33" hidden="1" x14ac:dyDescent="0.2">
      <c r="A33" s="183" t="s">
        <v>180</v>
      </c>
      <c r="B33" s="187" t="s">
        <v>181</v>
      </c>
      <c r="C33" s="185" t="s">
        <v>1</v>
      </c>
      <c r="D33" s="186" t="s">
        <v>2</v>
      </c>
      <c r="E33" s="186"/>
      <c r="F33" s="187">
        <v>172.40899999999999</v>
      </c>
      <c r="G33" s="187">
        <v>172.40899999999999</v>
      </c>
      <c r="H33" s="187"/>
      <c r="I33" s="273">
        <f t="shared" si="4"/>
        <v>714.22124668839285</v>
      </c>
      <c r="J33" s="273">
        <v>124.19642857142856</v>
      </c>
      <c r="K33" s="273">
        <v>132.89017857142855</v>
      </c>
      <c r="L33" s="273">
        <v>142.19249107142855</v>
      </c>
      <c r="M33" s="273">
        <v>152.14596544642856</v>
      </c>
      <c r="N33" s="273">
        <v>162.79618302767858</v>
      </c>
      <c r="O33" s="274">
        <f t="shared" si="7"/>
        <v>693.53154686879998</v>
      </c>
      <c r="P33" s="273">
        <v>123.03</v>
      </c>
      <c r="Q33" s="273">
        <f t="shared" si="9"/>
        <v>130.4118</v>
      </c>
      <c r="R33" s="273">
        <f t="shared" si="9"/>
        <v>138.23650800000001</v>
      </c>
      <c r="S33" s="273">
        <f t="shared" si="9"/>
        <v>146.53069848000001</v>
      </c>
      <c r="T33" s="273">
        <f t="shared" si="9"/>
        <v>155.32254038880001</v>
      </c>
      <c r="U33" s="175">
        <f t="shared" si="2"/>
        <v>1.1664285714285541</v>
      </c>
    </row>
    <row r="34" spans="1:23" ht="33" hidden="1" x14ac:dyDescent="0.2">
      <c r="A34" s="183" t="s">
        <v>182</v>
      </c>
      <c r="B34" s="187" t="s">
        <v>183</v>
      </c>
      <c r="C34" s="185" t="s">
        <v>1</v>
      </c>
      <c r="D34" s="186" t="s">
        <v>2</v>
      </c>
      <c r="E34" s="186"/>
      <c r="F34" s="187">
        <v>174.107</v>
      </c>
      <c r="G34" s="187">
        <v>174.107</v>
      </c>
      <c r="H34" s="187"/>
      <c r="I34" s="273">
        <f t="shared" si="4"/>
        <v>1071.3318700325892</v>
      </c>
      <c r="J34" s="273">
        <v>186.29464285714283</v>
      </c>
      <c r="K34" s="273">
        <v>199.33526785714284</v>
      </c>
      <c r="L34" s="273">
        <v>213.28873660714285</v>
      </c>
      <c r="M34" s="273">
        <v>228.21894816964286</v>
      </c>
      <c r="N34" s="273">
        <v>244.19427454151787</v>
      </c>
      <c r="O34" s="274">
        <f t="shared" si="7"/>
        <v>1040.34241704688</v>
      </c>
      <c r="P34" s="273">
        <v>184.553</v>
      </c>
      <c r="Q34" s="273">
        <f t="shared" si="9"/>
        <v>195.62618000000001</v>
      </c>
      <c r="R34" s="273">
        <f t="shared" si="9"/>
        <v>207.36375080000002</v>
      </c>
      <c r="S34" s="273">
        <f t="shared" si="9"/>
        <v>219.80557584800002</v>
      </c>
      <c r="T34" s="273">
        <f t="shared" si="9"/>
        <v>232.99391039888002</v>
      </c>
      <c r="U34" s="175">
        <f t="shared" si="2"/>
        <v>1.7416428571428355</v>
      </c>
    </row>
    <row r="35" spans="1:23" ht="33" hidden="1" x14ac:dyDescent="0.2">
      <c r="A35" s="183" t="s">
        <v>184</v>
      </c>
      <c r="B35" s="187" t="s">
        <v>185</v>
      </c>
      <c r="C35" s="185" t="s">
        <v>1</v>
      </c>
      <c r="D35" s="186" t="s">
        <v>2</v>
      </c>
      <c r="E35" s="186"/>
      <c r="F35" s="168">
        <v>511.22399999999999</v>
      </c>
      <c r="G35" s="168">
        <v>608.41800000000001</v>
      </c>
      <c r="H35" s="168"/>
      <c r="I35" s="273">
        <f t="shared" si="4"/>
        <v>5537.9616666300008</v>
      </c>
      <c r="J35" s="273">
        <v>963</v>
      </c>
      <c r="K35" s="273">
        <v>1030.4100000000001</v>
      </c>
      <c r="L35" s="273">
        <v>1102.5387000000003</v>
      </c>
      <c r="M35" s="273">
        <v>1179.7164090000001</v>
      </c>
      <c r="N35" s="273">
        <v>1262.2965576300005</v>
      </c>
      <c r="O35" s="274">
        <f t="shared" si="7"/>
        <v>5377.7866838400014</v>
      </c>
      <c r="P35" s="273">
        <v>954</v>
      </c>
      <c r="Q35" s="273">
        <f t="shared" si="9"/>
        <v>1011.24</v>
      </c>
      <c r="R35" s="273">
        <f t="shared" si="9"/>
        <v>1071.9144000000001</v>
      </c>
      <c r="S35" s="273">
        <f t="shared" si="9"/>
        <v>1136.2292640000003</v>
      </c>
      <c r="T35" s="273">
        <f t="shared" si="9"/>
        <v>1204.4030198400003</v>
      </c>
      <c r="U35" s="175">
        <f t="shared" si="2"/>
        <v>9</v>
      </c>
    </row>
    <row r="36" spans="1:23" s="220" customFormat="1" ht="33" hidden="1" x14ac:dyDescent="0.2">
      <c r="A36" s="213" t="s">
        <v>186</v>
      </c>
      <c r="B36" s="217" t="s">
        <v>187</v>
      </c>
      <c r="C36" s="215" t="s">
        <v>1</v>
      </c>
      <c r="D36" s="216" t="s">
        <v>2</v>
      </c>
      <c r="E36" s="216"/>
      <c r="F36" s="189">
        <v>55</v>
      </c>
      <c r="G36" s="189">
        <f>742</f>
        <v>742</v>
      </c>
      <c r="H36" s="189"/>
      <c r="I36" s="275">
        <f t="shared" si="4"/>
        <v>10965.1640999274</v>
      </c>
      <c r="J36" s="275">
        <v>1906.74</v>
      </c>
      <c r="K36" s="275">
        <v>2040.2118</v>
      </c>
      <c r="L36" s="275">
        <v>2183.0266260000003</v>
      </c>
      <c r="M36" s="275">
        <v>2335.8384898200006</v>
      </c>
      <c r="N36" s="275">
        <v>2499.3471841074006</v>
      </c>
      <c r="O36" s="275">
        <f t="shared" si="7"/>
        <v>6756.1429999999991</v>
      </c>
      <c r="P36" s="275">
        <v>1115.5440000000001</v>
      </c>
      <c r="Q36" s="275">
        <v>1265.174</v>
      </c>
      <c r="R36" s="275">
        <v>1470.6669999999999</v>
      </c>
      <c r="S36" s="275">
        <v>1173.0940000000001</v>
      </c>
      <c r="T36" s="275">
        <v>1731.664</v>
      </c>
      <c r="U36" s="219">
        <f t="shared" si="2"/>
        <v>791.19599999999991</v>
      </c>
      <c r="V36" s="287"/>
      <c r="W36" s="287"/>
    </row>
    <row r="37" spans="1:23" s="220" customFormat="1" ht="49.5" hidden="1" x14ac:dyDescent="0.2">
      <c r="A37" s="213" t="s">
        <v>188</v>
      </c>
      <c r="B37" s="217" t="s">
        <v>189</v>
      </c>
      <c r="C37" s="215" t="s">
        <v>1</v>
      </c>
      <c r="D37" s="216" t="s">
        <v>2</v>
      </c>
      <c r="E37" s="216"/>
      <c r="F37" s="217">
        <f>2169.166+613.49</f>
        <v>2782.6559999999999</v>
      </c>
      <c r="G37" s="217">
        <f>1964.433+549.34</f>
        <v>2513.7730000000001</v>
      </c>
      <c r="H37" s="217"/>
      <c r="I37" s="275">
        <f t="shared" si="4"/>
        <v>20055.966148442963</v>
      </c>
      <c r="J37" s="275">
        <v>2922.3176600000033</v>
      </c>
      <c r="K37" s="275">
        <v>3686.7432186999945</v>
      </c>
      <c r="L37" s="275">
        <v>3909.5661955959995</v>
      </c>
      <c r="M37" s="275">
        <v>4834.7725184964338</v>
      </c>
      <c r="N37" s="275">
        <v>4702.5665556505328</v>
      </c>
      <c r="O37" s="274">
        <f t="shared" si="7"/>
        <v>16862.856</v>
      </c>
      <c r="P37" s="275">
        <v>2538.15</v>
      </c>
      <c r="Q37" s="275">
        <v>3192.46</v>
      </c>
      <c r="R37" s="275">
        <v>3409.72</v>
      </c>
      <c r="S37" s="275">
        <v>3614.306</v>
      </c>
      <c r="T37" s="275">
        <v>4108.22</v>
      </c>
      <c r="U37" s="219">
        <f t="shared" si="2"/>
        <v>384.16766000000325</v>
      </c>
      <c r="V37" s="287"/>
      <c r="W37" s="287"/>
    </row>
    <row r="38" spans="1:23" ht="33" hidden="1" x14ac:dyDescent="0.2">
      <c r="A38" s="183" t="s">
        <v>190</v>
      </c>
      <c r="B38" s="224" t="s">
        <v>191</v>
      </c>
      <c r="C38" s="185" t="s">
        <v>1</v>
      </c>
      <c r="D38" s="186" t="s">
        <v>2</v>
      </c>
      <c r="E38" s="186"/>
      <c r="F38" s="168">
        <f>1041.673+3000</f>
        <v>4041.6729999999998</v>
      </c>
      <c r="G38" s="168">
        <f>1021.517+6750</f>
        <v>7771.5169999999998</v>
      </c>
      <c r="H38" s="168"/>
      <c r="I38" s="273">
        <f>J38+K38+L38+M38+N38</f>
        <v>19649.42576491</v>
      </c>
      <c r="J38" s="273">
        <v>856</v>
      </c>
      <c r="K38" s="273">
        <v>915.92000000000007</v>
      </c>
      <c r="L38" s="273">
        <v>980.03440000000012</v>
      </c>
      <c r="M38" s="273">
        <v>1048.6368080000002</v>
      </c>
      <c r="N38" s="273">
        <v>15848.83455691</v>
      </c>
      <c r="O38" s="274">
        <f>P38+Q38+R38+S38+T38</f>
        <v>18831.624368000001</v>
      </c>
      <c r="P38" s="273">
        <v>848</v>
      </c>
      <c r="Q38" s="273">
        <f>P38*1.06</f>
        <v>898.88</v>
      </c>
      <c r="R38" s="273">
        <f>Q38*1.06</f>
        <v>952.81280000000004</v>
      </c>
      <c r="S38" s="273">
        <f>R38*1.06</f>
        <v>1009.981568</v>
      </c>
      <c r="T38" s="273">
        <v>15121.95</v>
      </c>
      <c r="U38" s="175">
        <f t="shared" si="2"/>
        <v>8</v>
      </c>
    </row>
    <row r="39" spans="1:23" s="162" customFormat="1" ht="33" hidden="1" x14ac:dyDescent="0.2">
      <c r="A39" s="221" t="s">
        <v>192</v>
      </c>
      <c r="B39" s="225" t="s">
        <v>193</v>
      </c>
      <c r="C39" s="185" t="s">
        <v>1</v>
      </c>
      <c r="D39" s="186" t="s">
        <v>2</v>
      </c>
      <c r="E39" s="186"/>
      <c r="F39" s="223">
        <v>7010.6970000000001</v>
      </c>
      <c r="G39" s="223">
        <f>SUM(G41:G44)</f>
        <v>7346.018</v>
      </c>
      <c r="H39" s="223"/>
      <c r="I39" s="288">
        <f t="shared" si="4"/>
        <v>35921.275714285715</v>
      </c>
      <c r="J39" s="288">
        <v>7184.2551428571423</v>
      </c>
      <c r="K39" s="288">
        <v>7184.2551428571423</v>
      </c>
      <c r="L39" s="288">
        <v>7184.2551428571423</v>
      </c>
      <c r="M39" s="288">
        <v>7184.2551428571423</v>
      </c>
      <c r="N39" s="288">
        <v>7184.2551428571423</v>
      </c>
      <c r="O39" s="271">
        <f>P39+Q39+R39+S39+T39</f>
        <v>38446.8292</v>
      </c>
      <c r="P39" s="288">
        <f>1873.93+4946.4</f>
        <v>6820.33</v>
      </c>
      <c r="Q39" s="288">
        <f>6820.33*1.06</f>
        <v>7229.5498000000007</v>
      </c>
      <c r="R39" s="288">
        <f>7229.55*1.06</f>
        <v>7663.3230000000003</v>
      </c>
      <c r="S39" s="288">
        <f>7663.32*1.06</f>
        <v>8123.1192000000001</v>
      </c>
      <c r="T39" s="288">
        <f>8123.12*1.06</f>
        <v>8610.5072</v>
      </c>
      <c r="U39" s="175">
        <f t="shared" si="2"/>
        <v>363.92514285714242</v>
      </c>
      <c r="V39" s="255"/>
      <c r="W39" s="255"/>
    </row>
    <row r="40" spans="1:23" ht="33" hidden="1" outlineLevel="1" x14ac:dyDescent="0.2">
      <c r="A40" s="183"/>
      <c r="B40" s="187" t="s">
        <v>194</v>
      </c>
      <c r="C40" s="185" t="s">
        <v>1</v>
      </c>
      <c r="D40" s="186" t="s">
        <v>2</v>
      </c>
      <c r="E40" s="186"/>
      <c r="F40" s="187"/>
      <c r="G40" s="226"/>
      <c r="H40" s="226"/>
      <c r="I40" s="273">
        <f t="shared" si="4"/>
        <v>0</v>
      </c>
      <c r="J40" s="273"/>
      <c r="K40" s="273"/>
      <c r="L40" s="273"/>
      <c r="M40" s="273"/>
      <c r="N40" s="273"/>
      <c r="O40" s="274">
        <f>SUM(P40:T40)</f>
        <v>0</v>
      </c>
      <c r="P40" s="273"/>
      <c r="Q40" s="273"/>
      <c r="R40" s="273"/>
      <c r="S40" s="273"/>
      <c r="T40" s="273"/>
      <c r="U40" s="175">
        <f t="shared" si="2"/>
        <v>0</v>
      </c>
    </row>
    <row r="41" spans="1:23" ht="33" hidden="1" outlineLevel="1" x14ac:dyDescent="0.2">
      <c r="A41" s="183"/>
      <c r="B41" s="227" t="s">
        <v>195</v>
      </c>
      <c r="C41" s="228"/>
      <c r="D41" s="186" t="s">
        <v>2</v>
      </c>
      <c r="E41" s="186"/>
      <c r="F41" s="229"/>
      <c r="G41" s="187">
        <v>4575</v>
      </c>
      <c r="H41" s="187"/>
      <c r="I41" s="273">
        <f t="shared" si="4"/>
        <v>0</v>
      </c>
      <c r="J41" s="273"/>
      <c r="K41" s="273"/>
      <c r="L41" s="273"/>
      <c r="M41" s="273"/>
      <c r="N41" s="273"/>
      <c r="O41" s="274">
        <f>SUM(P41:T41)</f>
        <v>0</v>
      </c>
      <c r="P41" s="273"/>
      <c r="Q41" s="273"/>
      <c r="R41" s="273"/>
      <c r="S41" s="273"/>
      <c r="T41" s="273"/>
      <c r="U41" s="175">
        <f t="shared" si="2"/>
        <v>0</v>
      </c>
    </row>
    <row r="42" spans="1:23" ht="33" hidden="1" outlineLevel="1" x14ac:dyDescent="0.2">
      <c r="A42" s="183"/>
      <c r="B42" s="227" t="s">
        <v>196</v>
      </c>
      <c r="C42" s="228"/>
      <c r="D42" s="186" t="s">
        <v>2</v>
      </c>
      <c r="E42" s="186"/>
      <c r="F42" s="229"/>
      <c r="G42" s="187">
        <v>308.983</v>
      </c>
      <c r="H42" s="187"/>
      <c r="I42" s="273">
        <f t="shared" si="4"/>
        <v>0</v>
      </c>
      <c r="J42" s="273"/>
      <c r="K42" s="273"/>
      <c r="L42" s="273"/>
      <c r="M42" s="273"/>
      <c r="N42" s="273"/>
      <c r="O42" s="274">
        <f>SUM(P42:T42)</f>
        <v>0</v>
      </c>
      <c r="P42" s="273"/>
      <c r="Q42" s="273"/>
      <c r="R42" s="273"/>
      <c r="S42" s="273"/>
      <c r="T42" s="273"/>
      <c r="U42" s="175">
        <f t="shared" si="2"/>
        <v>0</v>
      </c>
    </row>
    <row r="43" spans="1:23" ht="33" hidden="1" outlineLevel="1" x14ac:dyDescent="0.2">
      <c r="A43" s="183"/>
      <c r="B43" s="227" t="s">
        <v>197</v>
      </c>
      <c r="C43" s="228"/>
      <c r="D43" s="186" t="s">
        <v>2</v>
      </c>
      <c r="E43" s="186"/>
      <c r="F43" s="229"/>
      <c r="G43" s="187">
        <v>9</v>
      </c>
      <c r="H43" s="187"/>
      <c r="I43" s="273">
        <f t="shared" si="4"/>
        <v>0</v>
      </c>
      <c r="J43" s="273"/>
      <c r="K43" s="273"/>
      <c r="L43" s="273"/>
      <c r="M43" s="273"/>
      <c r="N43" s="273"/>
      <c r="O43" s="274">
        <f>SUM(P43:T43)</f>
        <v>0</v>
      </c>
      <c r="P43" s="273"/>
      <c r="Q43" s="273"/>
      <c r="R43" s="273"/>
      <c r="S43" s="273"/>
      <c r="T43" s="273"/>
      <c r="U43" s="175">
        <f t="shared" si="2"/>
        <v>0</v>
      </c>
    </row>
    <row r="44" spans="1:23" ht="33" hidden="1" outlineLevel="1" x14ac:dyDescent="0.2">
      <c r="A44" s="183"/>
      <c r="B44" s="227" t="s">
        <v>198</v>
      </c>
      <c r="C44" s="228"/>
      <c r="D44" s="186" t="s">
        <v>2</v>
      </c>
      <c r="E44" s="186"/>
      <c r="F44" s="229"/>
      <c r="G44" s="187">
        <v>2453.0349999999999</v>
      </c>
      <c r="H44" s="187"/>
      <c r="I44" s="273">
        <f t="shared" si="4"/>
        <v>0</v>
      </c>
      <c r="J44" s="273"/>
      <c r="K44" s="273"/>
      <c r="L44" s="273"/>
      <c r="M44" s="273"/>
      <c r="N44" s="273"/>
      <c r="O44" s="274">
        <f>SUM(P44:T44)</f>
        <v>0</v>
      </c>
      <c r="P44" s="273"/>
      <c r="Q44" s="273"/>
      <c r="R44" s="273"/>
      <c r="S44" s="273"/>
      <c r="T44" s="273"/>
      <c r="U44" s="175">
        <f t="shared" si="2"/>
        <v>0</v>
      </c>
    </row>
    <row r="45" spans="1:23" s="162" customFormat="1" ht="33" hidden="1" collapsed="1" x14ac:dyDescent="0.2">
      <c r="A45" s="221" t="s">
        <v>199</v>
      </c>
      <c r="B45" s="225" t="s">
        <v>200</v>
      </c>
      <c r="C45" s="185" t="s">
        <v>1</v>
      </c>
      <c r="D45" s="186" t="s">
        <v>2</v>
      </c>
      <c r="E45" s="186"/>
      <c r="F45" s="223">
        <f t="shared" ref="F45:T45" si="10">F58+F59+F48+F60+F46+F47+F49+F61</f>
        <v>51858.527999999998</v>
      </c>
      <c r="G45" s="223">
        <f t="shared" si="10"/>
        <v>43520.520999999993</v>
      </c>
      <c r="H45" s="223"/>
      <c r="I45" s="288">
        <f t="shared" si="10"/>
        <v>454357.18626514223</v>
      </c>
      <c r="J45" s="288">
        <f t="shared" si="10"/>
        <v>80500.823193742472</v>
      </c>
      <c r="K45" s="288">
        <f t="shared" si="10"/>
        <v>85873.572600852465</v>
      </c>
      <c r="L45" s="288">
        <f t="shared" si="10"/>
        <v>92131.151271098614</v>
      </c>
      <c r="M45" s="288">
        <f t="shared" si="10"/>
        <v>96248.383245511417</v>
      </c>
      <c r="N45" s="288">
        <f t="shared" si="10"/>
        <v>101597.81195393731</v>
      </c>
      <c r="O45" s="271">
        <f t="shared" si="10"/>
        <v>223800.90993981872</v>
      </c>
      <c r="P45" s="288">
        <f t="shared" si="10"/>
        <v>48884.5987600972</v>
      </c>
      <c r="Q45" s="288">
        <f t="shared" si="10"/>
        <v>51858.03444298901</v>
      </c>
      <c r="R45" s="288">
        <f t="shared" si="10"/>
        <v>55012.701189568354</v>
      </c>
      <c r="S45" s="288">
        <f t="shared" si="10"/>
        <v>55153.81574094246</v>
      </c>
      <c r="T45" s="288">
        <f t="shared" si="10"/>
        <v>58480.431265399005</v>
      </c>
      <c r="U45" s="175">
        <f t="shared" si="2"/>
        <v>31616.224433645271</v>
      </c>
      <c r="V45" s="255"/>
      <c r="W45" s="255"/>
    </row>
    <row r="46" spans="1:23" ht="33" hidden="1" x14ac:dyDescent="0.2">
      <c r="A46" s="183" t="s">
        <v>201</v>
      </c>
      <c r="B46" s="187" t="s">
        <v>202</v>
      </c>
      <c r="C46" s="185" t="s">
        <v>1</v>
      </c>
      <c r="D46" s="186" t="s">
        <v>2</v>
      </c>
      <c r="E46" s="186"/>
      <c r="F46" s="187">
        <v>11620.427</v>
      </c>
      <c r="G46" s="187">
        <v>11738.383</v>
      </c>
      <c r="H46" s="187"/>
      <c r="I46" s="273">
        <f>SUM(J46:N46)</f>
        <v>169207.88118612184</v>
      </c>
      <c r="J46" s="273">
        <v>29683.170068218289</v>
      </c>
      <c r="K46" s="273">
        <v>31289.14152179825</v>
      </c>
      <c r="L46" s="273">
        <v>33439.113616782422</v>
      </c>
      <c r="M46" s="273">
        <v>37107.892905444358</v>
      </c>
      <c r="N46" s="273">
        <v>37688.563073878526</v>
      </c>
      <c r="O46" s="274">
        <f>SUM(P46:T46)</f>
        <v>73601.898040003231</v>
      </c>
      <c r="P46" s="273">
        <f>F46*1.06*1.06</f>
        <v>13056.711777200002</v>
      </c>
      <c r="Q46" s="273">
        <f t="shared" ref="Q46:T48" si="11">P46*1.06</f>
        <v>13840.114483832003</v>
      </c>
      <c r="R46" s="273">
        <f t="shared" si="11"/>
        <v>14670.521352861924</v>
      </c>
      <c r="S46" s="273">
        <f t="shared" si="11"/>
        <v>15550.752634033641</v>
      </c>
      <c r="T46" s="273">
        <f t="shared" si="11"/>
        <v>16483.79779207566</v>
      </c>
      <c r="U46" s="175">
        <f t="shared" si="2"/>
        <v>16626.458291018287</v>
      </c>
    </row>
    <row r="47" spans="1:23" ht="33" hidden="1" x14ac:dyDescent="0.2">
      <c r="A47" s="183" t="s">
        <v>203</v>
      </c>
      <c r="B47" s="187" t="s">
        <v>204</v>
      </c>
      <c r="C47" s="185" t="s">
        <v>1</v>
      </c>
      <c r="D47" s="186" t="s">
        <v>2</v>
      </c>
      <c r="E47" s="186"/>
      <c r="F47" s="187">
        <v>516.84699999999998</v>
      </c>
      <c r="G47" s="187"/>
      <c r="H47" s="187"/>
      <c r="I47" s="273">
        <f>SUM(J47:N47)</f>
        <v>3450.4434059999999</v>
      </c>
      <c r="J47" s="273">
        <v>600</v>
      </c>
      <c r="K47" s="273">
        <v>642</v>
      </c>
      <c r="L47" s="273">
        <v>686.93999999999983</v>
      </c>
      <c r="M47" s="273">
        <v>735.02579999999989</v>
      </c>
      <c r="N47" s="273">
        <v>786.47760599999992</v>
      </c>
      <c r="O47" s="274">
        <f>SUM(P47:T47)</f>
        <v>3273.6289946608003</v>
      </c>
      <c r="P47" s="273">
        <f>580.73</f>
        <v>580.73</v>
      </c>
      <c r="Q47" s="273">
        <f t="shared" si="11"/>
        <v>615.57380000000001</v>
      </c>
      <c r="R47" s="273">
        <f t="shared" si="11"/>
        <v>652.50822800000003</v>
      </c>
      <c r="S47" s="273">
        <f t="shared" si="11"/>
        <v>691.6587216800001</v>
      </c>
      <c r="T47" s="273">
        <f t="shared" si="11"/>
        <v>733.15824498080019</v>
      </c>
      <c r="U47" s="175">
        <f t="shared" si="2"/>
        <v>19.269999999999982</v>
      </c>
    </row>
    <row r="48" spans="1:23" ht="33" hidden="1" x14ac:dyDescent="0.2">
      <c r="A48" s="183" t="s">
        <v>205</v>
      </c>
      <c r="B48" s="187" t="s">
        <v>206</v>
      </c>
      <c r="C48" s="185" t="s">
        <v>1</v>
      </c>
      <c r="D48" s="186" t="s">
        <v>2</v>
      </c>
      <c r="E48" s="186"/>
      <c r="F48" s="187">
        <v>607.87400000000002</v>
      </c>
      <c r="G48" s="187">
        <v>581.61300000000006</v>
      </c>
      <c r="H48" s="187"/>
      <c r="I48" s="273">
        <f>SUM(J48:N48)</f>
        <v>3596.2843303571426</v>
      </c>
      <c r="J48" s="273">
        <v>719.25686607142848</v>
      </c>
      <c r="K48" s="273">
        <v>719.25686607142848</v>
      </c>
      <c r="L48" s="273">
        <v>719.25686607142848</v>
      </c>
      <c r="M48" s="273">
        <v>719.25686607142848</v>
      </c>
      <c r="N48" s="273">
        <v>719.25686607142848</v>
      </c>
      <c r="O48" s="274">
        <f>SUM(P48:T48)</f>
        <v>3850.1514029588807</v>
      </c>
      <c r="P48" s="273">
        <v>683.00300000000004</v>
      </c>
      <c r="Q48" s="273">
        <f t="shared" si="11"/>
        <v>723.98318000000006</v>
      </c>
      <c r="R48" s="273">
        <f t="shared" si="11"/>
        <v>767.42217080000012</v>
      </c>
      <c r="S48" s="273">
        <f t="shared" si="11"/>
        <v>813.46750104800014</v>
      </c>
      <c r="T48" s="273">
        <f t="shared" si="11"/>
        <v>862.2755511108802</v>
      </c>
      <c r="U48" s="175">
        <f t="shared" si="2"/>
        <v>36.253866071428433</v>
      </c>
    </row>
    <row r="49" spans="1:23" s="234" customFormat="1" ht="33" hidden="1" x14ac:dyDescent="0.2">
      <c r="A49" s="230" t="s">
        <v>207</v>
      </c>
      <c r="B49" s="231" t="s">
        <v>208</v>
      </c>
      <c r="C49" s="232" t="s">
        <v>1</v>
      </c>
      <c r="D49" s="233" t="s">
        <v>2</v>
      </c>
      <c r="E49" s="233"/>
      <c r="F49" s="218">
        <v>22587.363000000001</v>
      </c>
      <c r="G49" s="218">
        <f>SUM(G51:G57)</f>
        <v>14930.360999999999</v>
      </c>
      <c r="H49" s="218"/>
      <c r="I49" s="286">
        <f>SUM(I51:I57)</f>
        <v>99529.368000000002</v>
      </c>
      <c r="J49" s="286">
        <f>SUM(J51:J57)+336.5</f>
        <v>17573.112999999998</v>
      </c>
      <c r="K49" s="286">
        <f>SUM(K51:K57)+384.7</f>
        <v>18862.927</v>
      </c>
      <c r="L49" s="286">
        <f>SUM(L51:L57)+385.2</f>
        <v>20194.757000000001</v>
      </c>
      <c r="M49" s="286">
        <f>SUM(M51:M57)+455.3</f>
        <v>21692.409</v>
      </c>
      <c r="N49" s="286">
        <f>SUM(N51:N57)+432.856</f>
        <v>23200.718000000001</v>
      </c>
      <c r="O49" s="271">
        <f>SUM(O51:O57)</f>
        <v>76046.62322069981</v>
      </c>
      <c r="P49" s="286">
        <f>P51+P52+P53+P54+P55+P57</f>
        <v>13490.397224299066</v>
      </c>
      <c r="Q49" s="286">
        <f>Q51+Q52+Q53+Q54+Q55+Q57</f>
        <v>14299.82105775701</v>
      </c>
      <c r="R49" s="286">
        <f>R51+R52+R53+R54+R55+R57</f>
        <v>15157.810321222431</v>
      </c>
      <c r="S49" s="286">
        <f>S51+S52+S53+S54+S55+S57</f>
        <v>16067.27894049578</v>
      </c>
      <c r="T49" s="286">
        <f>T51+T52+T53+T54+T55+T57</f>
        <v>17031.315676925529</v>
      </c>
      <c r="U49" s="219"/>
      <c r="V49" s="289"/>
      <c r="W49" s="289"/>
    </row>
    <row r="50" spans="1:23" ht="33" hidden="1" outlineLevel="1" x14ac:dyDescent="0.2">
      <c r="A50" s="183"/>
      <c r="B50" s="187" t="s">
        <v>194</v>
      </c>
      <c r="C50" s="185" t="s">
        <v>1</v>
      </c>
      <c r="D50" s="186" t="s">
        <v>2</v>
      </c>
      <c r="E50" s="186"/>
      <c r="F50" s="187"/>
      <c r="G50" s="226"/>
      <c r="H50" s="226"/>
      <c r="I50" s="273">
        <f t="shared" ref="I50:I57" si="12">J50+K50+L50+M50+N50</f>
        <v>0</v>
      </c>
      <c r="J50" s="273"/>
      <c r="K50" s="273"/>
      <c r="L50" s="273"/>
      <c r="M50" s="273"/>
      <c r="N50" s="273"/>
      <c r="O50" s="274">
        <f t="shared" ref="O50:O57" si="13">P50+Q50+R50+S50+T50</f>
        <v>0</v>
      </c>
      <c r="P50" s="273"/>
      <c r="Q50" s="273"/>
      <c r="R50" s="273"/>
      <c r="S50" s="273"/>
      <c r="T50" s="273"/>
      <c r="U50" s="175"/>
    </row>
    <row r="51" spans="1:23" ht="33" hidden="1" outlineLevel="1" x14ac:dyDescent="0.2">
      <c r="A51" s="183"/>
      <c r="B51" s="187" t="s">
        <v>209</v>
      </c>
      <c r="C51" s="185" t="s">
        <v>1</v>
      </c>
      <c r="D51" s="186" t="s">
        <v>2</v>
      </c>
      <c r="E51" s="186"/>
      <c r="F51" s="187"/>
      <c r="G51" s="187">
        <v>105.883</v>
      </c>
      <c r="H51" s="187"/>
      <c r="I51" s="273">
        <f t="shared" si="12"/>
        <v>2217.5650000000001</v>
      </c>
      <c r="J51" s="273">
        <f>385.614</f>
        <v>385.61399999999998</v>
      </c>
      <c r="K51" s="273">
        <f>412.607</f>
        <v>412.60700000000003</v>
      </c>
      <c r="L51" s="273">
        <f>441.489</f>
        <v>441.48899999999998</v>
      </c>
      <c r="M51" s="273">
        <f>472.394</f>
        <v>472.39400000000001</v>
      </c>
      <c r="N51" s="273">
        <f>505.461</f>
        <v>505.46100000000001</v>
      </c>
      <c r="O51" s="274">
        <f t="shared" si="13"/>
        <v>3218.9886525995207</v>
      </c>
      <c r="P51" s="290">
        <v>571.03700000000003</v>
      </c>
      <c r="Q51" s="273">
        <f>P51*1.06</f>
        <v>605.2992200000001</v>
      </c>
      <c r="R51" s="273">
        <f t="shared" ref="R51:T55" si="14">Q51*1.06</f>
        <v>641.61717320000014</v>
      </c>
      <c r="S51" s="273">
        <f t="shared" si="14"/>
        <v>680.11420359200019</v>
      </c>
      <c r="T51" s="273">
        <f t="shared" si="14"/>
        <v>720.92105580752025</v>
      </c>
      <c r="U51" s="175"/>
    </row>
    <row r="52" spans="1:23" ht="33" hidden="1" outlineLevel="1" x14ac:dyDescent="0.2">
      <c r="A52" s="183"/>
      <c r="B52" s="187" t="s">
        <v>210</v>
      </c>
      <c r="C52" s="185" t="s">
        <v>1</v>
      </c>
      <c r="D52" s="186" t="s">
        <v>2</v>
      </c>
      <c r="E52" s="186"/>
      <c r="F52" s="187"/>
      <c r="G52" s="187">
        <v>586.54300000000001</v>
      </c>
      <c r="H52" s="187"/>
      <c r="I52" s="273">
        <f t="shared" si="12"/>
        <v>14655.376</v>
      </c>
      <c r="J52" s="273">
        <v>2498.1030000000001</v>
      </c>
      <c r="K52" s="273">
        <v>2697.9520000000002</v>
      </c>
      <c r="L52" s="273">
        <v>2913.788</v>
      </c>
      <c r="M52" s="273">
        <v>3146.8910000000001</v>
      </c>
      <c r="N52" s="273">
        <v>3398.6419999999998</v>
      </c>
      <c r="O52" s="274">
        <f t="shared" si="13"/>
        <v>13949.832093464001</v>
      </c>
      <c r="P52" s="273">
        <v>2474.65</v>
      </c>
      <c r="Q52" s="273">
        <f>P52*1.06</f>
        <v>2623.1290000000004</v>
      </c>
      <c r="R52" s="273">
        <f t="shared" si="14"/>
        <v>2780.5167400000005</v>
      </c>
      <c r="S52" s="273">
        <f t="shared" si="14"/>
        <v>2947.3477444000005</v>
      </c>
      <c r="T52" s="273">
        <f t="shared" si="14"/>
        <v>3124.1886090640005</v>
      </c>
      <c r="U52" s="175">
        <f t="shared" si="2"/>
        <v>23.452999999999975</v>
      </c>
    </row>
    <row r="53" spans="1:23" ht="33" hidden="1" outlineLevel="1" x14ac:dyDescent="0.2">
      <c r="A53" s="183"/>
      <c r="B53" s="187" t="s">
        <v>211</v>
      </c>
      <c r="C53" s="185" t="s">
        <v>1</v>
      </c>
      <c r="D53" s="186" t="s">
        <v>2</v>
      </c>
      <c r="E53" s="186"/>
      <c r="F53" s="187"/>
      <c r="G53" s="187">
        <v>364.98599999999999</v>
      </c>
      <c r="H53" s="187"/>
      <c r="I53" s="273">
        <f t="shared" si="12"/>
        <v>1784.6819999999998</v>
      </c>
      <c r="J53" s="273">
        <v>310.33999999999997</v>
      </c>
      <c r="K53" s="273">
        <v>332.06299999999999</v>
      </c>
      <c r="L53" s="273">
        <v>355.30799999999999</v>
      </c>
      <c r="M53" s="273">
        <v>380.17899999999997</v>
      </c>
      <c r="N53" s="273">
        <v>406.79199999999997</v>
      </c>
      <c r="O53" s="274">
        <f t="shared" si="13"/>
        <v>1733.0114886928002</v>
      </c>
      <c r="P53" s="273">
        <v>307.43</v>
      </c>
      <c r="Q53" s="273">
        <f>P53*1.06</f>
        <v>325.87580000000003</v>
      </c>
      <c r="R53" s="273">
        <f t="shared" si="14"/>
        <v>345.42834800000003</v>
      </c>
      <c r="S53" s="273">
        <f t="shared" si="14"/>
        <v>366.15404888000006</v>
      </c>
      <c r="T53" s="273">
        <f t="shared" si="14"/>
        <v>388.12329181280006</v>
      </c>
      <c r="U53" s="175">
        <f t="shared" si="2"/>
        <v>2.9099999999999682</v>
      </c>
    </row>
    <row r="54" spans="1:23" ht="33" hidden="1" outlineLevel="1" x14ac:dyDescent="0.2">
      <c r="A54" s="183"/>
      <c r="B54" s="187" t="s">
        <v>212</v>
      </c>
      <c r="C54" s="185" t="s">
        <v>1</v>
      </c>
      <c r="D54" s="186" t="s">
        <v>2</v>
      </c>
      <c r="E54" s="186"/>
      <c r="F54" s="187"/>
      <c r="G54" s="187">
        <v>698.505</v>
      </c>
      <c r="H54" s="187"/>
      <c r="I54" s="273">
        <f t="shared" si="12"/>
        <v>8580.1110000000008</v>
      </c>
      <c r="J54" s="273">
        <v>1492.001</v>
      </c>
      <c r="K54" s="273">
        <v>1596.442</v>
      </c>
      <c r="L54" s="273">
        <v>1708.192</v>
      </c>
      <c r="M54" s="273">
        <v>1827.7660000000001</v>
      </c>
      <c r="N54" s="273">
        <v>1955.71</v>
      </c>
      <c r="O54" s="274">
        <f t="shared" si="13"/>
        <v>8331.9447091787188</v>
      </c>
      <c r="P54" s="273">
        <v>1478.057</v>
      </c>
      <c r="Q54" s="273">
        <f>P54*1.06</f>
        <v>1566.7404200000001</v>
      </c>
      <c r="R54" s="273">
        <f t="shared" si="14"/>
        <v>1660.7448452000001</v>
      </c>
      <c r="S54" s="273">
        <f t="shared" si="14"/>
        <v>1760.3895359120002</v>
      </c>
      <c r="T54" s="273">
        <f t="shared" si="14"/>
        <v>1866.0129080667202</v>
      </c>
      <c r="U54" s="175">
        <f t="shared" si="2"/>
        <v>13.94399999999996</v>
      </c>
    </row>
    <row r="55" spans="1:23" ht="33" hidden="1" outlineLevel="1" x14ac:dyDescent="0.2">
      <c r="A55" s="183"/>
      <c r="B55" s="187" t="s">
        <v>213</v>
      </c>
      <c r="C55" s="185" t="s">
        <v>1</v>
      </c>
      <c r="D55" s="186" t="s">
        <v>2</v>
      </c>
      <c r="E55" s="186"/>
      <c r="F55" s="187"/>
      <c r="G55" s="187">
        <v>9299.64</v>
      </c>
      <c r="H55" s="187"/>
      <c r="I55" s="273">
        <f t="shared" si="12"/>
        <v>46027.700000000004</v>
      </c>
      <c r="J55" s="273">
        <v>8003.7889999999998</v>
      </c>
      <c r="K55" s="273">
        <v>8564.0540000000001</v>
      </c>
      <c r="L55" s="273">
        <v>9163.5380000000005</v>
      </c>
      <c r="M55" s="273">
        <v>9804.9850000000006</v>
      </c>
      <c r="N55" s="273">
        <v>10491.334000000001</v>
      </c>
      <c r="O55" s="274">
        <f t="shared" si="13"/>
        <v>44696.443699119176</v>
      </c>
      <c r="P55" s="290">
        <f>8003.79/1.07*1.06</f>
        <v>7928.9882242990652</v>
      </c>
      <c r="Q55" s="273">
        <f>P55*1.06</f>
        <v>8404.72751775701</v>
      </c>
      <c r="R55" s="273">
        <f t="shared" si="14"/>
        <v>8909.0111688224315</v>
      </c>
      <c r="S55" s="273">
        <f t="shared" si="14"/>
        <v>9443.5518389517783</v>
      </c>
      <c r="T55" s="273">
        <f t="shared" si="14"/>
        <v>10010.164949288886</v>
      </c>
      <c r="U55" s="175"/>
    </row>
    <row r="56" spans="1:23" ht="33" hidden="1" outlineLevel="1" x14ac:dyDescent="0.2">
      <c r="A56" s="183"/>
      <c r="B56" s="187" t="s">
        <v>214</v>
      </c>
      <c r="C56" s="185" t="s">
        <v>1</v>
      </c>
      <c r="D56" s="186" t="s">
        <v>2</v>
      </c>
      <c r="E56" s="186"/>
      <c r="F56" s="187"/>
      <c r="G56" s="187">
        <v>2980.2150000000001</v>
      </c>
      <c r="H56" s="187"/>
      <c r="I56" s="273">
        <f t="shared" si="12"/>
        <v>20356.315999999999</v>
      </c>
      <c r="J56" s="273">
        <v>3539.7739999999999</v>
      </c>
      <c r="K56" s="273">
        <v>3787.558</v>
      </c>
      <c r="L56" s="273">
        <v>4052.6869999999999</v>
      </c>
      <c r="M56" s="273">
        <v>4336.375</v>
      </c>
      <c r="N56" s="273">
        <v>4639.9219999999996</v>
      </c>
      <c r="O56" s="274">
        <f t="shared" si="13"/>
        <v>0</v>
      </c>
      <c r="P56" s="273" t="s">
        <v>141</v>
      </c>
      <c r="Q56" s="273"/>
      <c r="R56" s="273"/>
      <c r="S56" s="273"/>
      <c r="T56" s="273"/>
      <c r="U56" s="175">
        <f t="shared" si="2"/>
        <v>3539.7739999999999</v>
      </c>
    </row>
    <row r="57" spans="1:23" ht="33" hidden="1" outlineLevel="1" x14ac:dyDescent="0.2">
      <c r="A57" s="183"/>
      <c r="B57" s="187" t="s">
        <v>215</v>
      </c>
      <c r="C57" s="185" t="s">
        <v>1</v>
      </c>
      <c r="D57" s="186" t="s">
        <v>2</v>
      </c>
      <c r="E57" s="186"/>
      <c r="F57" s="187"/>
      <c r="G57" s="187">
        <v>894.58900000000006</v>
      </c>
      <c r="H57" s="187"/>
      <c r="I57" s="273">
        <f t="shared" si="12"/>
        <v>5907.6180000000004</v>
      </c>
      <c r="J57" s="273">
        <v>1006.992</v>
      </c>
      <c r="K57" s="273">
        <v>1087.5509999999999</v>
      </c>
      <c r="L57" s="273">
        <v>1174.5550000000001</v>
      </c>
      <c r="M57" s="273">
        <v>1268.519</v>
      </c>
      <c r="N57" s="273">
        <v>1370.001</v>
      </c>
      <c r="O57" s="274">
        <f t="shared" si="13"/>
        <v>4116.4025776456001</v>
      </c>
      <c r="P57" s="273">
        <v>730.23500000000001</v>
      </c>
      <c r="Q57" s="273">
        <f>P57*1.06</f>
        <v>774.04910000000007</v>
      </c>
      <c r="R57" s="273">
        <f>Q57*1.06</f>
        <v>820.49204600000007</v>
      </c>
      <c r="S57" s="273">
        <f>R57*1.06</f>
        <v>869.72156876000008</v>
      </c>
      <c r="T57" s="273">
        <f>S57*1.06</f>
        <v>921.9048628856001</v>
      </c>
      <c r="U57" s="175">
        <f t="shared" si="2"/>
        <v>276.75699999999995</v>
      </c>
    </row>
    <row r="58" spans="1:23" s="237" customFormat="1" ht="33" hidden="1" x14ac:dyDescent="0.2">
      <c r="A58" s="235" t="s">
        <v>216</v>
      </c>
      <c r="B58" s="236" t="s">
        <v>217</v>
      </c>
      <c r="C58" s="212" t="s">
        <v>1</v>
      </c>
      <c r="D58" s="180" t="s">
        <v>2</v>
      </c>
      <c r="E58" s="180"/>
      <c r="F58" s="236">
        <v>6605.134</v>
      </c>
      <c r="G58" s="236">
        <v>6777.86</v>
      </c>
      <c r="H58" s="236"/>
      <c r="I58" s="290">
        <f t="shared" si="4"/>
        <v>103634.92873209063</v>
      </c>
      <c r="J58" s="290">
        <v>17144.426047102763</v>
      </c>
      <c r="K58" s="290">
        <v>18719.906418625425</v>
      </c>
      <c r="L58" s="290">
        <v>20599.412219153804</v>
      </c>
      <c r="M58" s="290">
        <v>22549.82203617792</v>
      </c>
      <c r="N58" s="290">
        <v>24621.362011030713</v>
      </c>
      <c r="O58" s="274">
        <f>SUM(P58:T58)</f>
        <v>44965.872000000003</v>
      </c>
      <c r="P58" s="290">
        <v>7976.7839999999997</v>
      </c>
      <c r="Q58" s="290">
        <v>8455.3909999999996</v>
      </c>
      <c r="R58" s="290">
        <v>8962.7139999999999</v>
      </c>
      <c r="S58" s="290">
        <v>9500.4770000000008</v>
      </c>
      <c r="T58" s="290">
        <v>10070.505999999999</v>
      </c>
      <c r="U58" s="175">
        <f t="shared" si="2"/>
        <v>9167.6420471027632</v>
      </c>
      <c r="V58" s="291"/>
      <c r="W58" s="291"/>
    </row>
    <row r="59" spans="1:23" ht="33" hidden="1" x14ac:dyDescent="0.2">
      <c r="A59" s="183" t="s">
        <v>218</v>
      </c>
      <c r="B59" s="187" t="s">
        <v>41</v>
      </c>
      <c r="C59" s="185" t="s">
        <v>1</v>
      </c>
      <c r="D59" s="186" t="s">
        <v>2</v>
      </c>
      <c r="E59" s="186"/>
      <c r="F59" s="168">
        <v>3245.2730000000001</v>
      </c>
      <c r="G59" s="168">
        <v>3287.527</v>
      </c>
      <c r="H59" s="168"/>
      <c r="I59" s="273">
        <f t="shared" si="4"/>
        <v>19867.754821519342</v>
      </c>
      <c r="J59" s="273">
        <v>4091.32</v>
      </c>
      <c r="K59" s="273">
        <v>4091.3</v>
      </c>
      <c r="L59" s="273">
        <v>4204.2640000000001</v>
      </c>
      <c r="M59" s="273">
        <v>3562.7497448840004</v>
      </c>
      <c r="N59" s="273">
        <v>3918.1210766353406</v>
      </c>
      <c r="O59" s="274">
        <f>SUM(P59:T59)</f>
        <v>19139.678098017601</v>
      </c>
      <c r="P59" s="273">
        <v>3395.31</v>
      </c>
      <c r="Q59" s="273">
        <f t="shared" ref="Q59:T60" si="15">P59*1.06</f>
        <v>3599.0286000000001</v>
      </c>
      <c r="R59" s="273">
        <f t="shared" si="15"/>
        <v>3814.9703160000004</v>
      </c>
      <c r="S59" s="273">
        <f t="shared" si="15"/>
        <v>4043.8685349600005</v>
      </c>
      <c r="T59" s="273">
        <f t="shared" si="15"/>
        <v>4286.5006470576009</v>
      </c>
      <c r="U59" s="175">
        <f t="shared" si="2"/>
        <v>696.01000000000022</v>
      </c>
    </row>
    <row r="60" spans="1:23" ht="33" hidden="1" x14ac:dyDescent="0.2">
      <c r="A60" s="183" t="s">
        <v>42</v>
      </c>
      <c r="B60" s="184" t="s">
        <v>43</v>
      </c>
      <c r="C60" s="185" t="s">
        <v>1</v>
      </c>
      <c r="D60" s="186" t="s">
        <v>2</v>
      </c>
      <c r="E60" s="186"/>
      <c r="F60" s="187">
        <v>461.49700000000001</v>
      </c>
      <c r="G60" s="187">
        <v>507.59199999999998</v>
      </c>
      <c r="H60" s="187"/>
      <c r="I60" s="273">
        <f t="shared" si="4"/>
        <v>3970.3728810243156</v>
      </c>
      <c r="J60" s="273">
        <v>650.8747901785714</v>
      </c>
      <c r="K60" s="273">
        <v>800.96539549107138</v>
      </c>
      <c r="L60" s="273">
        <v>782.18284587544645</v>
      </c>
      <c r="M60" s="273">
        <v>797.34960558472767</v>
      </c>
      <c r="N60" s="273">
        <v>939.00024389449868</v>
      </c>
      <c r="O60" s="274">
        <f>SUM(P60:T60)</f>
        <v>2923.0581834783998</v>
      </c>
      <c r="P60" s="273">
        <v>518.54</v>
      </c>
      <c r="Q60" s="273">
        <f t="shared" si="15"/>
        <v>549.65239999999994</v>
      </c>
      <c r="R60" s="273">
        <f t="shared" si="15"/>
        <v>582.63154399999996</v>
      </c>
      <c r="S60" s="273">
        <f t="shared" si="15"/>
        <v>617.58943664000003</v>
      </c>
      <c r="T60" s="273">
        <f t="shared" si="15"/>
        <v>654.6448028384001</v>
      </c>
      <c r="U60" s="175">
        <f t="shared" si="2"/>
        <v>132.33479017857144</v>
      </c>
    </row>
    <row r="61" spans="1:23" s="162" customFormat="1" ht="33" hidden="1" x14ac:dyDescent="0.2">
      <c r="A61" s="221" t="s">
        <v>44</v>
      </c>
      <c r="B61" s="225" t="s">
        <v>45</v>
      </c>
      <c r="C61" s="238" t="s">
        <v>1</v>
      </c>
      <c r="D61" s="239" t="s">
        <v>2</v>
      </c>
      <c r="E61" s="239"/>
      <c r="F61" s="240">
        <f>SUM(F62:F83)</f>
        <v>6214.1130000000003</v>
      </c>
      <c r="G61" s="240">
        <f>SUM(G62:G83)</f>
        <v>5697.1850000000004</v>
      </c>
      <c r="H61" s="240"/>
      <c r="I61" s="292">
        <f t="shared" ref="I61:N61" si="16">SUM(I62:I83)</f>
        <v>51100.152908028977</v>
      </c>
      <c r="J61" s="292">
        <f>SUM(J62:J83)</f>
        <v>10038.662422171428</v>
      </c>
      <c r="K61" s="292">
        <f t="shared" si="16"/>
        <v>10748.075398866285</v>
      </c>
      <c r="L61" s="292">
        <f t="shared" si="16"/>
        <v>11505.224723215499</v>
      </c>
      <c r="M61" s="292">
        <f t="shared" si="16"/>
        <v>9083.8772873489779</v>
      </c>
      <c r="N61" s="292">
        <f t="shared" si="16"/>
        <v>9724.3130764267989</v>
      </c>
      <c r="O61" s="268"/>
      <c r="P61" s="292">
        <f>P62+P63+P64+P65+P66+P67+P68+P69+P70+P73+P82</f>
        <v>9183.1227585981305</v>
      </c>
      <c r="Q61" s="292">
        <f>Q62+Q63+Q64+Q65+Q66+Q67+Q68+Q69+Q70+Q73+Q82</f>
        <v>9774.4699214000011</v>
      </c>
      <c r="R61" s="292">
        <f>R62+R63+R64+R65+R66+R67+R68+R69+R70+R73+R82</f>
        <v>10404.123256684001</v>
      </c>
      <c r="S61" s="292">
        <f>S62+S63+S64+S65+S66+S67+S68+S69+S70+S73+S82</f>
        <v>7868.7229720850401</v>
      </c>
      <c r="T61" s="292">
        <f>T62+T63+T64+T65+T66+T67+T68+T69+T70+T73+T82</f>
        <v>8358.2325504101427</v>
      </c>
      <c r="U61" s="175">
        <f t="shared" si="2"/>
        <v>855.53966357329773</v>
      </c>
      <c r="V61" s="255"/>
      <c r="W61" s="255"/>
    </row>
    <row r="62" spans="1:23" ht="33" hidden="1" outlineLevel="1" x14ac:dyDescent="0.2">
      <c r="A62" s="183"/>
      <c r="B62" s="224" t="s">
        <v>46</v>
      </c>
      <c r="C62" s="185" t="s">
        <v>1</v>
      </c>
      <c r="D62" s="186" t="s">
        <v>2</v>
      </c>
      <c r="E62" s="186"/>
      <c r="F62" s="187">
        <v>216</v>
      </c>
      <c r="G62" s="187">
        <v>216</v>
      </c>
      <c r="H62" s="187"/>
      <c r="I62" s="273">
        <f t="shared" ref="I62:I83" si="17">J62+K62+L62+M62+N62</f>
        <v>1938.2865833205001</v>
      </c>
      <c r="J62" s="273">
        <v>337.05</v>
      </c>
      <c r="K62" s="273">
        <v>360.64350000000002</v>
      </c>
      <c r="L62" s="273">
        <v>385.88854500000002</v>
      </c>
      <c r="M62" s="273">
        <v>412.90074315000004</v>
      </c>
      <c r="N62" s="273">
        <v>441.80379517050005</v>
      </c>
      <c r="O62" s="274"/>
      <c r="P62" s="273">
        <f>315*1.06</f>
        <v>333.90000000000003</v>
      </c>
      <c r="Q62" s="273">
        <f>P62*1.06</f>
        <v>353.93400000000003</v>
      </c>
      <c r="R62" s="273">
        <f>Q62*1.06</f>
        <v>375.17004000000003</v>
      </c>
      <c r="S62" s="273">
        <f>R62*1.06</f>
        <v>397.68024240000005</v>
      </c>
      <c r="T62" s="273">
        <f>S62*1.06</f>
        <v>421.5410569440001</v>
      </c>
      <c r="U62" s="175">
        <f t="shared" si="2"/>
        <v>3.1499999999999773</v>
      </c>
    </row>
    <row r="63" spans="1:23" ht="33" hidden="1" outlineLevel="1" x14ac:dyDescent="0.2">
      <c r="A63" s="183"/>
      <c r="B63" s="224" t="s">
        <v>47</v>
      </c>
      <c r="C63" s="185" t="s">
        <v>1</v>
      </c>
      <c r="D63" s="186" t="s">
        <v>2</v>
      </c>
      <c r="E63" s="186"/>
      <c r="F63" s="187">
        <v>251.52199999999999</v>
      </c>
      <c r="G63" s="187">
        <v>259.49900000000002</v>
      </c>
      <c r="H63" s="187"/>
      <c r="I63" s="273">
        <f t="shared" si="17"/>
        <v>16730.283519061199</v>
      </c>
      <c r="J63" s="273">
        <v>4074.0861428571429</v>
      </c>
      <c r="K63" s="273">
        <v>4359.2721728571432</v>
      </c>
      <c r="L63" s="273">
        <v>4664.4212249571428</v>
      </c>
      <c r="M63" s="273">
        <v>1754.8328398018216</v>
      </c>
      <c r="N63" s="273">
        <v>1877.6711385879494</v>
      </c>
      <c r="O63" s="274"/>
      <c r="P63" s="273">
        <f>4074.08614/1.07*1.06</f>
        <v>4036.0105685981307</v>
      </c>
      <c r="Q63" s="273">
        <v>4318.5309999999999</v>
      </c>
      <c r="R63" s="273">
        <v>4620.8280000000004</v>
      </c>
      <c r="S63" s="273">
        <v>1738.43</v>
      </c>
      <c r="T63" s="273">
        <v>1860.1220000000001</v>
      </c>
      <c r="U63" s="175">
        <f t="shared" si="2"/>
        <v>38.075574259012228</v>
      </c>
    </row>
    <row r="64" spans="1:23" ht="33" hidden="1" outlineLevel="1" x14ac:dyDescent="0.2">
      <c r="A64" s="183"/>
      <c r="B64" s="224" t="s">
        <v>48</v>
      </c>
      <c r="C64" s="185" t="s">
        <v>1</v>
      </c>
      <c r="D64" s="186" t="s">
        <v>2</v>
      </c>
      <c r="E64" s="186"/>
      <c r="F64" s="168">
        <v>2669.2849999999999</v>
      </c>
      <c r="G64" s="168">
        <v>2642.0740000000001</v>
      </c>
      <c r="H64" s="168"/>
      <c r="I64" s="273">
        <f t="shared" si="17"/>
        <v>16257.449480444217</v>
      </c>
      <c r="J64" s="273">
        <v>2827.0191800000002</v>
      </c>
      <c r="K64" s="273">
        <v>3024.9105226000006</v>
      </c>
      <c r="L64" s="273">
        <v>3236.6542591820007</v>
      </c>
      <c r="M64" s="273">
        <v>3463.220057324741</v>
      </c>
      <c r="N64" s="273">
        <v>3705.6454613374731</v>
      </c>
      <c r="O64" s="274"/>
      <c r="P64" s="273">
        <v>2800.6</v>
      </c>
      <c r="Q64" s="273">
        <f t="shared" ref="Q64:T70" si="18">P64*1.06</f>
        <v>2968.636</v>
      </c>
      <c r="R64" s="273">
        <f t="shared" si="18"/>
        <v>3146.75416</v>
      </c>
      <c r="S64" s="273">
        <f t="shared" si="18"/>
        <v>3335.5594096</v>
      </c>
      <c r="T64" s="273">
        <f t="shared" si="18"/>
        <v>3535.692974176</v>
      </c>
      <c r="U64" s="175">
        <f t="shared" si="2"/>
        <v>26.419180000000324</v>
      </c>
    </row>
    <row r="65" spans="1:21" ht="33" hidden="1" outlineLevel="1" x14ac:dyDescent="0.2">
      <c r="A65" s="183"/>
      <c r="B65" s="187" t="s">
        <v>49</v>
      </c>
      <c r="C65" s="185" t="s">
        <v>1</v>
      </c>
      <c r="D65" s="186" t="s">
        <v>2</v>
      </c>
      <c r="E65" s="186"/>
      <c r="F65" s="168">
        <v>45</v>
      </c>
      <c r="G65" s="168">
        <v>45</v>
      </c>
      <c r="H65" s="168"/>
      <c r="I65" s="273">
        <f t="shared" si="17"/>
        <v>276.8980833315</v>
      </c>
      <c r="J65" s="273">
        <v>48.15</v>
      </c>
      <c r="K65" s="273">
        <v>51.520499999999998</v>
      </c>
      <c r="L65" s="273">
        <v>55.126935000000003</v>
      </c>
      <c r="M65" s="273">
        <v>58.985820450000006</v>
      </c>
      <c r="N65" s="273">
        <v>63.114827881500013</v>
      </c>
      <c r="O65" s="274"/>
      <c r="P65" s="273">
        <v>47.7</v>
      </c>
      <c r="Q65" s="273">
        <f t="shared" si="18"/>
        <v>50.562000000000005</v>
      </c>
      <c r="R65" s="273">
        <f t="shared" si="18"/>
        <v>53.595720000000007</v>
      </c>
      <c r="S65" s="273">
        <f t="shared" si="18"/>
        <v>56.811463200000013</v>
      </c>
      <c r="T65" s="273">
        <f t="shared" si="18"/>
        <v>60.220150992000015</v>
      </c>
      <c r="U65" s="175">
        <f t="shared" si="2"/>
        <v>0.44999999999999574</v>
      </c>
    </row>
    <row r="66" spans="1:21" ht="33" hidden="1" outlineLevel="1" x14ac:dyDescent="0.2">
      <c r="A66" s="241"/>
      <c r="B66" s="187" t="s">
        <v>50</v>
      </c>
      <c r="C66" s="185" t="s">
        <v>1</v>
      </c>
      <c r="D66" s="186" t="s">
        <v>2</v>
      </c>
      <c r="E66" s="186"/>
      <c r="F66" s="168">
        <v>136.60499999999999</v>
      </c>
      <c r="G66" s="168">
        <v>136.60499999999999</v>
      </c>
      <c r="H66" s="168"/>
      <c r="I66" s="273">
        <f t="shared" si="17"/>
        <v>873.70870585154853</v>
      </c>
      <c r="J66" s="273">
        <v>151.92981359999999</v>
      </c>
      <c r="K66" s="273">
        <v>162.56490055199998</v>
      </c>
      <c r="L66" s="273">
        <v>173.94444359063999</v>
      </c>
      <c r="M66" s="273">
        <v>186.1205546419848</v>
      </c>
      <c r="N66" s="273">
        <v>199.14899346692374</v>
      </c>
      <c r="O66" s="274"/>
      <c r="P66" s="273">
        <v>150.51</v>
      </c>
      <c r="Q66" s="273">
        <f t="shared" si="18"/>
        <v>159.54060000000001</v>
      </c>
      <c r="R66" s="273">
        <f t="shared" si="18"/>
        <v>169.11303600000002</v>
      </c>
      <c r="S66" s="273">
        <f t="shared" si="18"/>
        <v>179.25981816000004</v>
      </c>
      <c r="T66" s="273">
        <f t="shared" si="18"/>
        <v>190.01540724960006</v>
      </c>
      <c r="U66" s="175">
        <f t="shared" si="2"/>
        <v>1.4198135999999977</v>
      </c>
    </row>
    <row r="67" spans="1:21" ht="33" hidden="1" outlineLevel="1" x14ac:dyDescent="0.2">
      <c r="A67" s="241"/>
      <c r="B67" s="224" t="s">
        <v>51</v>
      </c>
      <c r="C67" s="185" t="s">
        <v>1</v>
      </c>
      <c r="D67" s="186" t="s">
        <v>2</v>
      </c>
      <c r="E67" s="186"/>
      <c r="F67" s="168">
        <v>126.17</v>
      </c>
      <c r="G67" s="168">
        <v>211.61</v>
      </c>
      <c r="H67" s="168"/>
      <c r="I67" s="273">
        <f t="shared" si="17"/>
        <v>1575.2424296192003</v>
      </c>
      <c r="J67" s="273">
        <v>273.92</v>
      </c>
      <c r="K67" s="273">
        <v>293.09440000000001</v>
      </c>
      <c r="L67" s="273">
        <v>313.61100800000003</v>
      </c>
      <c r="M67" s="273">
        <v>335.56377856000006</v>
      </c>
      <c r="N67" s="273">
        <v>359.0532430592001</v>
      </c>
      <c r="O67" s="274"/>
      <c r="P67" s="273">
        <v>142.36000000000001</v>
      </c>
      <c r="Q67" s="273">
        <f t="shared" si="18"/>
        <v>150.90160000000003</v>
      </c>
      <c r="R67" s="273">
        <f t="shared" si="18"/>
        <v>159.95569600000005</v>
      </c>
      <c r="S67" s="273">
        <f t="shared" si="18"/>
        <v>169.55303776000005</v>
      </c>
      <c r="T67" s="273">
        <f t="shared" si="18"/>
        <v>179.72622002560007</v>
      </c>
      <c r="U67" s="175">
        <f t="shared" si="2"/>
        <v>131.56</v>
      </c>
    </row>
    <row r="68" spans="1:21" ht="15" hidden="1" customHeight="1" outlineLevel="1" x14ac:dyDescent="0.2">
      <c r="A68" s="241"/>
      <c r="B68" s="224" t="s">
        <v>52</v>
      </c>
      <c r="C68" s="185" t="s">
        <v>1</v>
      </c>
      <c r="D68" s="186" t="s">
        <v>2</v>
      </c>
      <c r="E68" s="186"/>
      <c r="F68" s="168">
        <v>262.96699999999998</v>
      </c>
      <c r="G68" s="168">
        <v>111.539</v>
      </c>
      <c r="H68" s="168"/>
      <c r="I68" s="273">
        <f t="shared" si="17"/>
        <v>1185.6336407487638</v>
      </c>
      <c r="J68" s="273">
        <v>206.17065714285712</v>
      </c>
      <c r="K68" s="273">
        <v>220.60260314285713</v>
      </c>
      <c r="L68" s="273">
        <v>236.04478536285714</v>
      </c>
      <c r="M68" s="273">
        <v>252.56792033825715</v>
      </c>
      <c r="N68" s="273">
        <v>270.24767476193517</v>
      </c>
      <c r="O68" s="274"/>
      <c r="P68" s="275">
        <v>193.64</v>
      </c>
      <c r="Q68" s="273">
        <f t="shared" si="18"/>
        <v>205.25839999999999</v>
      </c>
      <c r="R68" s="273">
        <f t="shared" si="18"/>
        <v>217.573904</v>
      </c>
      <c r="S68" s="273">
        <f t="shared" si="18"/>
        <v>230.62833824000001</v>
      </c>
      <c r="T68" s="273">
        <f t="shared" si="18"/>
        <v>244.46603853440001</v>
      </c>
      <c r="U68" s="175">
        <f t="shared" si="2"/>
        <v>12.530657142857137</v>
      </c>
    </row>
    <row r="69" spans="1:21" ht="15" hidden="1" customHeight="1" outlineLevel="1" x14ac:dyDescent="0.2">
      <c r="A69" s="241"/>
      <c r="B69" s="224" t="s">
        <v>53</v>
      </c>
      <c r="C69" s="185" t="s">
        <v>1</v>
      </c>
      <c r="D69" s="186" t="s">
        <v>2</v>
      </c>
      <c r="E69" s="186"/>
      <c r="F69" s="168">
        <v>369.517</v>
      </c>
      <c r="G69" s="168">
        <v>404.339</v>
      </c>
      <c r="H69" s="168"/>
      <c r="I69" s="273">
        <f t="shared" si="17"/>
        <v>3263.4416964069642</v>
      </c>
      <c r="J69" s="273">
        <v>567.48214285714278</v>
      </c>
      <c r="K69" s="273">
        <v>607.20589285714277</v>
      </c>
      <c r="L69" s="273">
        <v>649.71030535714283</v>
      </c>
      <c r="M69" s="273">
        <v>695.19002673214288</v>
      </c>
      <c r="N69" s="273">
        <v>743.85332860339292</v>
      </c>
      <c r="O69" s="274"/>
      <c r="P69" s="273">
        <v>454.28500000000003</v>
      </c>
      <c r="Q69" s="273">
        <f t="shared" si="18"/>
        <v>481.54210000000006</v>
      </c>
      <c r="R69" s="273">
        <f t="shared" si="18"/>
        <v>510.43462600000009</v>
      </c>
      <c r="S69" s="273">
        <f t="shared" si="18"/>
        <v>541.06070356000009</v>
      </c>
      <c r="T69" s="273">
        <f t="shared" si="18"/>
        <v>573.52434577360009</v>
      </c>
      <c r="U69" s="175">
        <f t="shared" si="2"/>
        <v>113.19714285714275</v>
      </c>
    </row>
    <row r="70" spans="1:21" ht="15" hidden="1" customHeight="1" outlineLevel="1" x14ac:dyDescent="0.2">
      <c r="A70" s="241"/>
      <c r="B70" s="224" t="s">
        <v>54</v>
      </c>
      <c r="C70" s="185" t="s">
        <v>1</v>
      </c>
      <c r="D70" s="186" t="s">
        <v>2</v>
      </c>
      <c r="E70" s="186"/>
      <c r="F70" s="168">
        <v>1298.4559999999999</v>
      </c>
      <c r="G70" s="168">
        <v>454</v>
      </c>
      <c r="H70" s="168"/>
      <c r="I70" s="273">
        <f t="shared" si="17"/>
        <v>4029.4209086399887</v>
      </c>
      <c r="J70" s="273">
        <v>700.67880000000002</v>
      </c>
      <c r="K70" s="273">
        <v>749.72631600000011</v>
      </c>
      <c r="L70" s="273">
        <v>802.20715812000014</v>
      </c>
      <c r="M70" s="273">
        <v>858.36165918840015</v>
      </c>
      <c r="N70" s="273">
        <v>918.44697533158819</v>
      </c>
      <c r="O70" s="274"/>
      <c r="P70" s="273">
        <f>700.6788/1.07*1.06</f>
        <v>694.13040000000012</v>
      </c>
      <c r="Q70" s="273">
        <f t="shared" si="18"/>
        <v>735.77822400000014</v>
      </c>
      <c r="R70" s="273">
        <f t="shared" si="18"/>
        <v>779.92491744000017</v>
      </c>
      <c r="S70" s="273">
        <f t="shared" si="18"/>
        <v>826.72041248640028</v>
      </c>
      <c r="T70" s="273">
        <f t="shared" si="18"/>
        <v>876.32363723558433</v>
      </c>
      <c r="U70" s="175">
        <f t="shared" si="2"/>
        <v>6.5483999999999014</v>
      </c>
    </row>
    <row r="71" spans="1:21" ht="33" hidden="1" outlineLevel="1" x14ac:dyDescent="0.2">
      <c r="A71" s="241"/>
      <c r="B71" s="236" t="s">
        <v>55</v>
      </c>
      <c r="C71" s="185" t="s">
        <v>1</v>
      </c>
      <c r="D71" s="186" t="s">
        <v>2</v>
      </c>
      <c r="E71" s="186"/>
      <c r="F71" s="168">
        <f>122.232+31.916</f>
        <v>154.148</v>
      </c>
      <c r="G71" s="168">
        <f>57.517+31.916</f>
        <v>89.433000000000007</v>
      </c>
      <c r="H71" s="168"/>
      <c r="I71" s="273">
        <f t="shared" si="17"/>
        <v>0</v>
      </c>
      <c r="J71" s="273">
        <v>0</v>
      </c>
      <c r="K71" s="273"/>
      <c r="L71" s="273"/>
      <c r="M71" s="273"/>
      <c r="N71" s="273"/>
      <c r="O71" s="274"/>
      <c r="P71" s="273">
        <v>0</v>
      </c>
      <c r="Q71" s="273"/>
      <c r="R71" s="273"/>
      <c r="S71" s="273"/>
      <c r="T71" s="273"/>
      <c r="U71" s="175">
        <f t="shared" si="2"/>
        <v>0</v>
      </c>
    </row>
    <row r="72" spans="1:21" ht="33" hidden="1" outlineLevel="1" x14ac:dyDescent="0.2">
      <c r="A72" s="241"/>
      <c r="B72" s="187" t="s">
        <v>56</v>
      </c>
      <c r="C72" s="185" t="s">
        <v>1</v>
      </c>
      <c r="D72" s="186" t="s">
        <v>2</v>
      </c>
      <c r="E72" s="186"/>
      <c r="F72" s="168">
        <v>102.85</v>
      </c>
      <c r="G72" s="168">
        <v>166.54</v>
      </c>
      <c r="H72" s="168"/>
      <c r="I72" s="273">
        <f t="shared" si="17"/>
        <v>437.05616476000006</v>
      </c>
      <c r="J72" s="273">
        <v>76</v>
      </c>
      <c r="K72" s="273">
        <v>81.320000000000007</v>
      </c>
      <c r="L72" s="273">
        <v>87.012400000000014</v>
      </c>
      <c r="M72" s="273">
        <v>93.103268000000014</v>
      </c>
      <c r="N72" s="273">
        <v>99.620496760000023</v>
      </c>
      <c r="O72" s="274"/>
      <c r="P72" s="273" t="s">
        <v>141</v>
      </c>
      <c r="Q72" s="273"/>
      <c r="R72" s="273"/>
      <c r="S72" s="273"/>
      <c r="T72" s="273"/>
      <c r="U72" s="175">
        <f t="shared" si="2"/>
        <v>76</v>
      </c>
    </row>
    <row r="73" spans="1:21" ht="33" hidden="1" outlineLevel="1" x14ac:dyDescent="0.2">
      <c r="A73" s="241"/>
      <c r="B73" s="187" t="s">
        <v>57</v>
      </c>
      <c r="C73" s="185" t="s">
        <v>1</v>
      </c>
      <c r="D73" s="186" t="s">
        <v>2</v>
      </c>
      <c r="E73" s="186"/>
      <c r="F73" s="168">
        <v>220.24</v>
      </c>
      <c r="G73" s="168">
        <v>302.7</v>
      </c>
      <c r="H73" s="168"/>
      <c r="I73" s="273">
        <f t="shared" si="17"/>
        <v>2056.8604958937894</v>
      </c>
      <c r="J73" s="273">
        <v>357.66890000000001</v>
      </c>
      <c r="K73" s="273">
        <v>382.70572300000003</v>
      </c>
      <c r="L73" s="273">
        <v>409.49512361000006</v>
      </c>
      <c r="M73" s="273">
        <v>438.15978226270011</v>
      </c>
      <c r="N73" s="273">
        <v>468.83096702108912</v>
      </c>
      <c r="O73" s="274"/>
      <c r="P73" s="273">
        <v>247.46</v>
      </c>
      <c r="Q73" s="273">
        <f>P73*1.06</f>
        <v>262.30760000000004</v>
      </c>
      <c r="R73" s="273">
        <f>Q73*1.06</f>
        <v>278.04605600000008</v>
      </c>
      <c r="S73" s="273">
        <f>R73*1.06</f>
        <v>294.7288193600001</v>
      </c>
      <c r="T73" s="273">
        <f>S73*1.06</f>
        <v>312.41254852160012</v>
      </c>
      <c r="U73" s="175">
        <f t="shared" si="2"/>
        <v>110.2089</v>
      </c>
    </row>
    <row r="74" spans="1:21" ht="33" hidden="1" outlineLevel="1" x14ac:dyDescent="0.2">
      <c r="A74" s="241"/>
      <c r="B74" s="187" t="s">
        <v>58</v>
      </c>
      <c r="C74" s="185" t="s">
        <v>1</v>
      </c>
      <c r="D74" s="186" t="s">
        <v>2</v>
      </c>
      <c r="E74" s="186"/>
      <c r="F74" s="168">
        <v>55</v>
      </c>
      <c r="G74" s="168">
        <v>105</v>
      </c>
      <c r="H74" s="168"/>
      <c r="I74" s="273">
        <f t="shared" si="17"/>
        <v>0</v>
      </c>
      <c r="J74" s="273"/>
      <c r="K74" s="273"/>
      <c r="L74" s="273"/>
      <c r="M74" s="273"/>
      <c r="N74" s="273"/>
      <c r="O74" s="274"/>
      <c r="P74" s="273"/>
      <c r="Q74" s="273"/>
      <c r="R74" s="273"/>
      <c r="S74" s="273"/>
      <c r="T74" s="273"/>
      <c r="U74" s="175">
        <f t="shared" ref="U74:U89" si="19">J74-P74</f>
        <v>0</v>
      </c>
    </row>
    <row r="75" spans="1:21" ht="33" hidden="1" outlineLevel="1" x14ac:dyDescent="0.2">
      <c r="A75" s="241"/>
      <c r="B75" s="187" t="s">
        <v>59</v>
      </c>
      <c r="C75" s="185" t="s">
        <v>1</v>
      </c>
      <c r="D75" s="186" t="s">
        <v>2</v>
      </c>
      <c r="E75" s="186"/>
      <c r="F75" s="168">
        <v>164.19</v>
      </c>
      <c r="G75" s="168">
        <v>164.19</v>
      </c>
      <c r="H75" s="168"/>
      <c r="I75" s="273">
        <f t="shared" si="17"/>
        <v>0</v>
      </c>
      <c r="J75" s="273"/>
      <c r="K75" s="273"/>
      <c r="L75" s="273"/>
      <c r="M75" s="273"/>
      <c r="N75" s="273"/>
      <c r="O75" s="274"/>
      <c r="P75" s="273"/>
      <c r="Q75" s="273"/>
      <c r="R75" s="273"/>
      <c r="S75" s="273"/>
      <c r="T75" s="273"/>
      <c r="U75" s="175">
        <f t="shared" si="19"/>
        <v>0</v>
      </c>
    </row>
    <row r="76" spans="1:21" ht="33" hidden="1" outlineLevel="1" x14ac:dyDescent="0.2">
      <c r="A76" s="241"/>
      <c r="B76" s="187" t="s">
        <v>60</v>
      </c>
      <c r="C76" s="185" t="s">
        <v>1</v>
      </c>
      <c r="D76" s="186" t="s">
        <v>2</v>
      </c>
      <c r="E76" s="186"/>
      <c r="F76" s="168">
        <v>11.87</v>
      </c>
      <c r="G76" s="168">
        <v>11.87</v>
      </c>
      <c r="H76" s="168"/>
      <c r="I76" s="273">
        <f t="shared" si="17"/>
        <v>0</v>
      </c>
      <c r="J76" s="273"/>
      <c r="K76" s="273"/>
      <c r="L76" s="273"/>
      <c r="M76" s="273"/>
      <c r="N76" s="273"/>
      <c r="O76" s="274">
        <f t="shared" ref="O76:O83" si="20">P76+Q76+R76+S76+T76</f>
        <v>0</v>
      </c>
      <c r="P76" s="273"/>
      <c r="Q76" s="273"/>
      <c r="R76" s="273"/>
      <c r="S76" s="273"/>
      <c r="T76" s="273"/>
      <c r="U76" s="175">
        <f t="shared" si="19"/>
        <v>0</v>
      </c>
    </row>
    <row r="77" spans="1:21" ht="33" hidden="1" outlineLevel="1" x14ac:dyDescent="0.2">
      <c r="A77" s="241"/>
      <c r="B77" s="187" t="s">
        <v>61</v>
      </c>
      <c r="C77" s="185" t="s">
        <v>1</v>
      </c>
      <c r="D77" s="186" t="s">
        <v>2</v>
      </c>
      <c r="E77" s="186"/>
      <c r="F77" s="168">
        <v>14.56</v>
      </c>
      <c r="G77" s="168">
        <v>14.56</v>
      </c>
      <c r="H77" s="168"/>
      <c r="I77" s="273">
        <f t="shared" si="17"/>
        <v>0</v>
      </c>
      <c r="J77" s="273"/>
      <c r="K77" s="273"/>
      <c r="L77" s="273"/>
      <c r="M77" s="273"/>
      <c r="N77" s="273"/>
      <c r="O77" s="274">
        <f t="shared" si="20"/>
        <v>0</v>
      </c>
      <c r="P77" s="273"/>
      <c r="Q77" s="273"/>
      <c r="R77" s="273"/>
      <c r="S77" s="273"/>
      <c r="T77" s="273"/>
      <c r="U77" s="175">
        <f t="shared" si="19"/>
        <v>0</v>
      </c>
    </row>
    <row r="78" spans="1:21" ht="33" hidden="1" outlineLevel="1" x14ac:dyDescent="0.2">
      <c r="A78" s="241"/>
      <c r="B78" s="187" t="s">
        <v>62</v>
      </c>
      <c r="C78" s="185" t="s">
        <v>1</v>
      </c>
      <c r="D78" s="186" t="s">
        <v>2</v>
      </c>
      <c r="E78" s="186"/>
      <c r="F78" s="168">
        <v>15.21</v>
      </c>
      <c r="G78" s="168">
        <v>9.2140000000000004</v>
      </c>
      <c r="H78" s="168"/>
      <c r="I78" s="273">
        <f t="shared" si="17"/>
        <v>0</v>
      </c>
      <c r="J78" s="273"/>
      <c r="K78" s="273"/>
      <c r="L78" s="273"/>
      <c r="M78" s="273"/>
      <c r="N78" s="273"/>
      <c r="O78" s="274">
        <f t="shared" si="20"/>
        <v>0</v>
      </c>
      <c r="P78" s="273"/>
      <c r="Q78" s="273"/>
      <c r="R78" s="273"/>
      <c r="S78" s="273"/>
      <c r="T78" s="273"/>
      <c r="U78" s="175">
        <f t="shared" si="19"/>
        <v>0</v>
      </c>
    </row>
    <row r="79" spans="1:21" ht="33" hidden="1" outlineLevel="1" x14ac:dyDescent="0.2">
      <c r="A79" s="241"/>
      <c r="B79" s="187" t="s">
        <v>63</v>
      </c>
      <c r="C79" s="185" t="s">
        <v>1</v>
      </c>
      <c r="D79" s="186" t="s">
        <v>2</v>
      </c>
      <c r="E79" s="186"/>
      <c r="F79" s="168">
        <v>10</v>
      </c>
      <c r="G79" s="168"/>
      <c r="H79" s="168"/>
      <c r="I79" s="273">
        <f t="shared" si="17"/>
        <v>0</v>
      </c>
      <c r="J79" s="273"/>
      <c r="K79" s="273"/>
      <c r="L79" s="273"/>
      <c r="M79" s="273"/>
      <c r="N79" s="273"/>
      <c r="O79" s="274">
        <f t="shared" si="20"/>
        <v>0</v>
      </c>
      <c r="P79" s="273"/>
      <c r="Q79" s="273"/>
      <c r="R79" s="273"/>
      <c r="S79" s="273"/>
      <c r="T79" s="273"/>
      <c r="U79" s="175">
        <f t="shared" si="19"/>
        <v>0</v>
      </c>
    </row>
    <row r="80" spans="1:21" ht="33" hidden="1" outlineLevel="1" x14ac:dyDescent="0.2">
      <c r="A80" s="241"/>
      <c r="B80" s="187" t="s">
        <v>64</v>
      </c>
      <c r="C80" s="185" t="s">
        <v>1</v>
      </c>
      <c r="D80" s="186" t="s">
        <v>2</v>
      </c>
      <c r="E80" s="186"/>
      <c r="F80" s="168">
        <v>53.404000000000003</v>
      </c>
      <c r="G80" s="168">
        <v>314</v>
      </c>
      <c r="H80" s="168"/>
      <c r="I80" s="273">
        <f t="shared" si="17"/>
        <v>1932.1332925798008</v>
      </c>
      <c r="J80" s="273">
        <v>335.98</v>
      </c>
      <c r="K80" s="273">
        <v>359.49860000000007</v>
      </c>
      <c r="L80" s="273">
        <v>384.66350200000011</v>
      </c>
      <c r="M80" s="273">
        <v>411.58994714000016</v>
      </c>
      <c r="N80" s="273">
        <v>440.40124343980023</v>
      </c>
      <c r="O80" s="274">
        <f t="shared" si="20"/>
        <v>0</v>
      </c>
      <c r="P80" s="273" t="s">
        <v>141</v>
      </c>
      <c r="Q80" s="273"/>
      <c r="R80" s="273"/>
      <c r="S80" s="273"/>
      <c r="T80" s="273"/>
      <c r="U80" s="175">
        <f t="shared" si="19"/>
        <v>335.98</v>
      </c>
    </row>
    <row r="81" spans="1:23" ht="33" hidden="1" outlineLevel="1" x14ac:dyDescent="0.2">
      <c r="A81" s="241"/>
      <c r="B81" s="187" t="s">
        <v>65</v>
      </c>
      <c r="C81" s="185" t="s">
        <v>1</v>
      </c>
      <c r="D81" s="186" t="s">
        <v>2</v>
      </c>
      <c r="E81" s="186"/>
      <c r="F81" s="168">
        <v>19.262</v>
      </c>
      <c r="G81" s="168"/>
      <c r="H81" s="168"/>
      <c r="I81" s="273">
        <f t="shared" si="17"/>
        <v>0</v>
      </c>
      <c r="J81" s="273"/>
      <c r="K81" s="273"/>
      <c r="L81" s="273"/>
      <c r="M81" s="273"/>
      <c r="N81" s="273"/>
      <c r="O81" s="274">
        <f t="shared" si="20"/>
        <v>0</v>
      </c>
      <c r="P81" s="273"/>
      <c r="Q81" s="273"/>
      <c r="R81" s="273"/>
      <c r="S81" s="273"/>
      <c r="T81" s="273"/>
      <c r="U81" s="175">
        <f t="shared" si="19"/>
        <v>0</v>
      </c>
    </row>
    <row r="82" spans="1:23" ht="33" hidden="1" outlineLevel="1" x14ac:dyDescent="0.2">
      <c r="A82" s="241"/>
      <c r="B82" s="187" t="s">
        <v>66</v>
      </c>
      <c r="C82" s="185" t="s">
        <v>1</v>
      </c>
      <c r="D82" s="186" t="s">
        <v>2</v>
      </c>
      <c r="E82" s="186"/>
      <c r="F82" s="168"/>
      <c r="G82" s="168"/>
      <c r="H82" s="168"/>
      <c r="I82" s="273">
        <f t="shared" si="17"/>
        <v>543.73790737151785</v>
      </c>
      <c r="J82" s="273">
        <v>82.526785714285708</v>
      </c>
      <c r="K82" s="273">
        <v>95.01026785714285</v>
      </c>
      <c r="L82" s="273">
        <v>106.44503303571427</v>
      </c>
      <c r="M82" s="273">
        <v>123.28088975892857</v>
      </c>
      <c r="N82" s="273">
        <v>136.47493100544645</v>
      </c>
      <c r="O82" s="274">
        <f t="shared" si="20"/>
        <v>465.21118692039852</v>
      </c>
      <c r="P82" s="273">
        <v>82.526790000000005</v>
      </c>
      <c r="Q82" s="273">
        <f>P82*1.06</f>
        <v>87.478397400000006</v>
      </c>
      <c r="R82" s="273">
        <f>Q82*1.06</f>
        <v>92.727101244000011</v>
      </c>
      <c r="S82" s="273">
        <f>R82*1.06</f>
        <v>98.290727318640023</v>
      </c>
      <c r="T82" s="273">
        <f>S82*1.06</f>
        <v>104.18817095775843</v>
      </c>
      <c r="U82" s="175">
        <f t="shared" si="19"/>
        <v>-4.2857142972252404E-6</v>
      </c>
    </row>
    <row r="83" spans="1:23" ht="33" hidden="1" outlineLevel="1" x14ac:dyDescent="0.2">
      <c r="A83" s="241"/>
      <c r="B83" s="187" t="s">
        <v>67</v>
      </c>
      <c r="C83" s="185" t="s">
        <v>1</v>
      </c>
      <c r="D83" s="186" t="s">
        <v>2</v>
      </c>
      <c r="E83" s="186"/>
      <c r="F83" s="168">
        <v>17.856999999999999</v>
      </c>
      <c r="G83" s="168">
        <f>17.857+21.155</f>
        <v>39.012</v>
      </c>
      <c r="H83" s="168"/>
      <c r="I83" s="273">
        <f t="shared" si="17"/>
        <v>0</v>
      </c>
      <c r="J83" s="273"/>
      <c r="K83" s="273"/>
      <c r="L83" s="273"/>
      <c r="M83" s="273"/>
      <c r="N83" s="273"/>
      <c r="O83" s="274">
        <f t="shared" si="20"/>
        <v>0</v>
      </c>
      <c r="P83" s="273"/>
      <c r="Q83" s="273"/>
      <c r="R83" s="273"/>
      <c r="S83" s="273"/>
      <c r="T83" s="273"/>
      <c r="U83" s="175">
        <f t="shared" si="19"/>
        <v>0</v>
      </c>
    </row>
    <row r="84" spans="1:23" s="176" customFormat="1" ht="27.75" customHeight="1" collapsed="1" x14ac:dyDescent="0.2">
      <c r="A84" s="169" t="s">
        <v>68</v>
      </c>
      <c r="B84" s="242" t="s">
        <v>69</v>
      </c>
      <c r="C84" s="243" t="s">
        <v>1</v>
      </c>
      <c r="D84" s="172" t="s">
        <v>2</v>
      </c>
      <c r="E84" s="173">
        <v>381368.34</v>
      </c>
      <c r="F84" s="244">
        <f t="shared" ref="F84:T84" si="21">F85+F113+F121</f>
        <v>282751.91499999998</v>
      </c>
      <c r="G84" s="244">
        <f t="shared" si="21"/>
        <v>274269.908</v>
      </c>
      <c r="H84" s="244"/>
      <c r="I84" s="293">
        <f t="shared" si="21"/>
        <v>2424221.2602088014</v>
      </c>
      <c r="J84" s="293">
        <f t="shared" si="21"/>
        <v>432090.95190771203</v>
      </c>
      <c r="K84" s="293">
        <f t="shared" si="21"/>
        <v>476829.04499701946</v>
      </c>
      <c r="L84" s="293">
        <f t="shared" si="21"/>
        <v>475365.14964083506</v>
      </c>
      <c r="M84" s="293">
        <f t="shared" si="21"/>
        <v>501020.61030292511</v>
      </c>
      <c r="N84" s="293">
        <f t="shared" si="21"/>
        <v>538915.50336030964</v>
      </c>
      <c r="O84" s="271">
        <f t="shared" si="21"/>
        <v>1011730.3952875525</v>
      </c>
      <c r="P84" s="293">
        <f t="shared" si="21"/>
        <v>217083.02776020579</v>
      </c>
      <c r="Q84" s="293">
        <f t="shared" si="21"/>
        <v>243838.30328041821</v>
      </c>
      <c r="R84" s="293">
        <f t="shared" si="21"/>
        <v>216823.79034544327</v>
      </c>
      <c r="S84" s="293">
        <f t="shared" si="21"/>
        <v>215309.14906036988</v>
      </c>
      <c r="T84" s="293">
        <f t="shared" si="21"/>
        <v>224174.1257275854</v>
      </c>
      <c r="U84" s="175">
        <f t="shared" si="19"/>
        <v>215007.92414750624</v>
      </c>
      <c r="V84" s="269"/>
      <c r="W84" s="269"/>
    </row>
    <row r="85" spans="1:23" s="162" customFormat="1" ht="66" hidden="1" x14ac:dyDescent="0.2">
      <c r="A85" s="221" t="s">
        <v>192</v>
      </c>
      <c r="B85" s="225" t="s">
        <v>70</v>
      </c>
      <c r="C85" s="185" t="s">
        <v>1</v>
      </c>
      <c r="D85" s="186" t="s">
        <v>2</v>
      </c>
      <c r="E85" s="186"/>
      <c r="F85" s="226">
        <f t="shared" ref="F85:T85" si="22">F86+F89+F90+F99</f>
        <v>132091.18599999999</v>
      </c>
      <c r="G85" s="226">
        <f t="shared" si="22"/>
        <v>132157.022</v>
      </c>
      <c r="H85" s="226"/>
      <c r="I85" s="288">
        <f t="shared" si="22"/>
        <v>2280735.9431958967</v>
      </c>
      <c r="J85" s="288">
        <f t="shared" si="22"/>
        <v>357988.61516741454</v>
      </c>
      <c r="K85" s="288">
        <f t="shared" si="22"/>
        <v>441986.51527082967</v>
      </c>
      <c r="L85" s="288">
        <f t="shared" si="22"/>
        <v>464533.68440998346</v>
      </c>
      <c r="M85" s="288">
        <f t="shared" si="22"/>
        <v>489559.55181707913</v>
      </c>
      <c r="N85" s="288">
        <f t="shared" si="22"/>
        <v>526667.57653059007</v>
      </c>
      <c r="O85" s="271">
        <f t="shared" si="22"/>
        <v>977867.74423124467</v>
      </c>
      <c r="P85" s="288">
        <f t="shared" si="22"/>
        <v>146509.15252620581</v>
      </c>
      <c r="Q85" s="288">
        <f t="shared" si="22"/>
        <v>212641.55433337818</v>
      </c>
      <c r="R85" s="288">
        <f t="shared" si="22"/>
        <v>210011.35016618087</v>
      </c>
      <c r="S85" s="288">
        <f t="shared" si="22"/>
        <v>208143.20088755173</v>
      </c>
      <c r="T85" s="288">
        <f t="shared" si="22"/>
        <v>216564.27732439816</v>
      </c>
      <c r="U85" s="175">
        <f t="shared" si="19"/>
        <v>211479.46264120872</v>
      </c>
      <c r="V85" s="255"/>
      <c r="W85" s="255"/>
    </row>
    <row r="86" spans="1:23" s="203" customFormat="1" ht="49.5" hidden="1" x14ac:dyDescent="0.2">
      <c r="A86" s="183" t="s">
        <v>71</v>
      </c>
      <c r="B86" s="184" t="s">
        <v>72</v>
      </c>
      <c r="C86" s="185" t="s">
        <v>1</v>
      </c>
      <c r="D86" s="186" t="s">
        <v>2</v>
      </c>
      <c r="E86" s="186">
        <v>105719.57</v>
      </c>
      <c r="F86" s="168">
        <v>85954.633000000002</v>
      </c>
      <c r="G86" s="168">
        <v>87669.490999999995</v>
      </c>
      <c r="H86" s="168"/>
      <c r="I86" s="273">
        <f>J86+K86+L86+M86+N86</f>
        <v>1452906.7899902728</v>
      </c>
      <c r="J86" s="273">
        <f>J87*J88*12/1000</f>
        <v>240602.40384000001</v>
      </c>
      <c r="K86" s="273">
        <v>262665.43409448001</v>
      </c>
      <c r="L86" s="273">
        <v>288756.18585153797</v>
      </c>
      <c r="M86" s="273">
        <v>315958.53363750578</v>
      </c>
      <c r="N86" s="273">
        <v>344924.23256674898</v>
      </c>
      <c r="O86" s="274">
        <f>P86+Q86+R86+S86+T86</f>
        <v>544422.67446033086</v>
      </c>
      <c r="P86" s="273">
        <f>P87*P88*12/1000</f>
        <v>96578.62276238401</v>
      </c>
      <c r="Q86" s="273">
        <f>Q87*Q88*12/1000</f>
        <v>102373.34012812706</v>
      </c>
      <c r="R86" s="273">
        <f>R87*R88*12/1000</f>
        <v>108515.74053581469</v>
      </c>
      <c r="S86" s="273">
        <f>S87*S88*12/1000</f>
        <v>115026.68496796358</v>
      </c>
      <c r="T86" s="273">
        <f>T87*T88*12/1000</f>
        <v>121928.2860660414</v>
      </c>
      <c r="U86" s="175">
        <f t="shared" si="19"/>
        <v>144023.781077616</v>
      </c>
      <c r="V86" s="280">
        <f>P86/J86*100-100</f>
        <v>-59.859660077790181</v>
      </c>
      <c r="W86" s="280"/>
    </row>
    <row r="87" spans="1:23" s="203" customFormat="1" ht="33" hidden="1" x14ac:dyDescent="0.2">
      <c r="A87" s="183"/>
      <c r="B87" s="184" t="s">
        <v>140</v>
      </c>
      <c r="C87" s="185"/>
      <c r="D87" s="186"/>
      <c r="E87" s="186">
        <f>E86/E88/12*1000</f>
        <v>88099.641666666677</v>
      </c>
      <c r="F87" s="168"/>
      <c r="G87" s="168"/>
      <c r="H87" s="168"/>
      <c r="I87" s="273"/>
      <c r="J87" s="273">
        <v>217936.96</v>
      </c>
      <c r="K87" s="273"/>
      <c r="L87" s="273"/>
      <c r="M87" s="273"/>
      <c r="N87" s="273"/>
      <c r="O87" s="274"/>
      <c r="P87" s="273">
        <f>135148.79*1.06*1.06</f>
        <v>151853.18044400003</v>
      </c>
      <c r="Q87" s="273">
        <f>P87*1.06</f>
        <v>160964.37127064003</v>
      </c>
      <c r="R87" s="273">
        <f>Q87*1.06</f>
        <v>170622.23354687844</v>
      </c>
      <c r="S87" s="273">
        <f>R87*1.06</f>
        <v>180859.56755969115</v>
      </c>
      <c r="T87" s="273">
        <f>S87*1.06</f>
        <v>191711.14161327263</v>
      </c>
      <c r="U87" s="175"/>
      <c r="V87" s="280"/>
      <c r="W87" s="280"/>
    </row>
    <row r="88" spans="1:23" s="203" customFormat="1" hidden="1" x14ac:dyDescent="0.2">
      <c r="A88" s="183"/>
      <c r="B88" s="184" t="s">
        <v>139</v>
      </c>
      <c r="C88" s="185"/>
      <c r="D88" s="186"/>
      <c r="E88" s="186">
        <v>100</v>
      </c>
      <c r="F88" s="168"/>
      <c r="G88" s="168"/>
      <c r="H88" s="168"/>
      <c r="I88" s="273"/>
      <c r="J88" s="273">
        <v>92</v>
      </c>
      <c r="K88" s="273"/>
      <c r="L88" s="273"/>
      <c r="M88" s="273"/>
      <c r="N88" s="273"/>
      <c r="O88" s="274"/>
      <c r="P88" s="273">
        <v>53</v>
      </c>
      <c r="Q88" s="273">
        <v>53</v>
      </c>
      <c r="R88" s="273">
        <v>53</v>
      </c>
      <c r="S88" s="273">
        <v>53</v>
      </c>
      <c r="T88" s="273">
        <v>53</v>
      </c>
      <c r="U88" s="175"/>
      <c r="V88" s="280"/>
      <c r="W88" s="280"/>
    </row>
    <row r="89" spans="1:23" s="203" customFormat="1" ht="33" hidden="1" x14ac:dyDescent="0.2">
      <c r="A89" s="183" t="s">
        <v>73</v>
      </c>
      <c r="B89" s="184" t="s">
        <v>22</v>
      </c>
      <c r="C89" s="185" t="s">
        <v>1</v>
      </c>
      <c r="D89" s="186" t="s">
        <v>2</v>
      </c>
      <c r="E89" s="186"/>
      <c r="F89" s="168">
        <v>8598.3889999999992</v>
      </c>
      <c r="G89" s="168">
        <v>8767.0419999999995</v>
      </c>
      <c r="H89" s="168"/>
      <c r="I89" s="273">
        <f>J89+K89+L89+M89+N89</f>
        <v>143837.77185596339</v>
      </c>
      <c r="J89" s="273">
        <v>23819.637627086398</v>
      </c>
      <c r="K89" s="273">
        <v>26003.87797535352</v>
      </c>
      <c r="L89" s="273">
        <v>28586.862399302259</v>
      </c>
      <c r="M89" s="273">
        <v>31279.894830113073</v>
      </c>
      <c r="N89" s="273">
        <v>34147.499024108147</v>
      </c>
      <c r="O89" s="274">
        <f>P89+Q89+R89+S89+T89</f>
        <v>53897.844771572745</v>
      </c>
      <c r="P89" s="273">
        <f>P86*0.099</f>
        <v>9561.2836534760172</v>
      </c>
      <c r="Q89" s="273">
        <f>Q86*0.099</f>
        <v>10134.96067268458</v>
      </c>
      <c r="R89" s="273">
        <f>R86*0.099</f>
        <v>10743.058313045654</v>
      </c>
      <c r="S89" s="273">
        <f>S86*0.099</f>
        <v>11387.641811828395</v>
      </c>
      <c r="T89" s="273">
        <f>T86*0.099</f>
        <v>12070.9003205381</v>
      </c>
      <c r="U89" s="175">
        <f t="shared" si="19"/>
        <v>14258.353973610381</v>
      </c>
      <c r="V89" s="280"/>
      <c r="W89" s="280"/>
    </row>
    <row r="90" spans="1:23" ht="28.5" customHeight="1" x14ac:dyDescent="0.2">
      <c r="A90" s="183" t="s">
        <v>74</v>
      </c>
      <c r="B90" s="236" t="s">
        <v>75</v>
      </c>
      <c r="C90" s="185" t="s">
        <v>1</v>
      </c>
      <c r="D90" s="186" t="s">
        <v>2</v>
      </c>
      <c r="E90" s="186"/>
      <c r="F90" s="190">
        <f>F92+F93+F97+F98+F96</f>
        <v>10792.289000000001</v>
      </c>
      <c r="G90" s="190">
        <f t="shared" ref="G90:O90" si="23">G92+G93+G97+G98+G96</f>
        <v>10987.606</v>
      </c>
      <c r="H90" s="190">
        <v>12543</v>
      </c>
      <c r="I90" s="294">
        <f t="shared" si="23"/>
        <v>286049.86503193877</v>
      </c>
      <c r="J90" s="294">
        <f>J92+J93+J97+J98+J96</f>
        <v>13214.012816485501</v>
      </c>
      <c r="K90" s="294">
        <f t="shared" si="23"/>
        <v>80246.772357084497</v>
      </c>
      <c r="L90" s="294">
        <f t="shared" si="23"/>
        <v>71118.683919557749</v>
      </c>
      <c r="M90" s="294">
        <f t="shared" si="23"/>
        <v>61874.782349803812</v>
      </c>
      <c r="N90" s="294">
        <f t="shared" si="23"/>
        <v>59595.613589007211</v>
      </c>
      <c r="O90" s="295">
        <f t="shared" si="23"/>
        <v>267521.9878930978</v>
      </c>
      <c r="P90" s="296">
        <f>P92+P93+P96+P97+P98</f>
        <v>13071.556134345794</v>
      </c>
      <c r="Q90" s="296">
        <f>Q92+Q93+Q96+Q97+Q98</f>
        <v>79985.683662406533</v>
      </c>
      <c r="R90" s="296">
        <f>R92+R93+R96+R97+R98</f>
        <v>70555.078882150934</v>
      </c>
      <c r="S90" s="296">
        <f>S92+S93+S96+S97+S98</f>
        <v>61166.420175079984</v>
      </c>
      <c r="T90" s="296">
        <f>T92+T93+T96+T97+T98</f>
        <v>58745.040045584785</v>
      </c>
      <c r="U90" s="175"/>
    </row>
    <row r="91" spans="1:23" ht="33" hidden="1" outlineLevel="1" x14ac:dyDescent="0.2">
      <c r="A91" s="183"/>
      <c r="B91" s="187" t="s">
        <v>194</v>
      </c>
      <c r="C91" s="185" t="s">
        <v>1</v>
      </c>
      <c r="D91" s="186" t="s">
        <v>2</v>
      </c>
      <c r="E91" s="186"/>
      <c r="F91" s="187"/>
      <c r="G91" s="187"/>
      <c r="H91" s="187"/>
      <c r="I91" s="273">
        <f>J91+K91+L91+M91+N91</f>
        <v>0</v>
      </c>
      <c r="J91" s="273"/>
      <c r="K91" s="273"/>
      <c r="L91" s="273"/>
      <c r="M91" s="273"/>
      <c r="N91" s="273"/>
      <c r="O91" s="274">
        <f>P91+Q91+R91+S91+T91</f>
        <v>0</v>
      </c>
      <c r="P91" s="273"/>
      <c r="Q91" s="275"/>
      <c r="R91" s="275"/>
      <c r="S91" s="275"/>
      <c r="T91" s="275"/>
      <c r="U91" s="175"/>
    </row>
    <row r="92" spans="1:23" ht="33" hidden="1" outlineLevel="1" x14ac:dyDescent="0.2">
      <c r="A92" s="183"/>
      <c r="B92" s="187" t="s">
        <v>76</v>
      </c>
      <c r="C92" s="185" t="s">
        <v>1</v>
      </c>
      <c r="D92" s="186" t="s">
        <v>2</v>
      </c>
      <c r="E92" s="186"/>
      <c r="F92" s="187">
        <v>2223.8310000000001</v>
      </c>
      <c r="G92" s="187">
        <v>2346.7199999999998</v>
      </c>
      <c r="H92" s="187"/>
      <c r="I92" s="273">
        <f>J92+K92+L92+M92+N92</f>
        <v>225684.35089914757</v>
      </c>
      <c r="J92" s="273">
        <v>2849.9539999999997</v>
      </c>
      <c r="K92" s="290">
        <v>69132.160000000003</v>
      </c>
      <c r="L92" s="273">
        <v>59029.380000000005</v>
      </c>
      <c r="M92" s="273">
        <v>48926.6</v>
      </c>
      <c r="N92" s="273">
        <v>45746.256899147564</v>
      </c>
      <c r="O92" s="274">
        <f>P92+Q92+R92+S92+T92</f>
        <v>225684.35</v>
      </c>
      <c r="P92" s="273">
        <v>2849.95</v>
      </c>
      <c r="Q92" s="275">
        <v>69132.160000000003</v>
      </c>
      <c r="R92" s="275">
        <v>59029.38</v>
      </c>
      <c r="S92" s="275">
        <v>48926.6</v>
      </c>
      <c r="T92" s="275">
        <v>45746.26</v>
      </c>
      <c r="U92" s="175"/>
    </row>
    <row r="93" spans="1:23" ht="33" hidden="1" outlineLevel="1" x14ac:dyDescent="0.2">
      <c r="A93" s="183"/>
      <c r="B93" s="187" t="s">
        <v>77</v>
      </c>
      <c r="C93" s="185" t="s">
        <v>1</v>
      </c>
      <c r="D93" s="186" t="s">
        <v>2</v>
      </c>
      <c r="E93" s="186"/>
      <c r="F93" s="190">
        <f>F94+F95</f>
        <v>2678.69</v>
      </c>
      <c r="G93" s="190">
        <f t="shared" ref="G93:O93" si="24">G94+G95</f>
        <v>2678.607</v>
      </c>
      <c r="H93" s="190"/>
      <c r="I93" s="294">
        <f t="shared" si="24"/>
        <v>16478.397229393217</v>
      </c>
      <c r="J93" s="294">
        <f t="shared" si="24"/>
        <v>2865.4399375000003</v>
      </c>
      <c r="K93" s="294">
        <f t="shared" si="24"/>
        <v>3066.0207331250003</v>
      </c>
      <c r="L93" s="294">
        <f t="shared" si="24"/>
        <v>3280.6421844437509</v>
      </c>
      <c r="M93" s="294">
        <f t="shared" si="24"/>
        <v>3510.2871373548132</v>
      </c>
      <c r="N93" s="294">
        <f t="shared" si="24"/>
        <v>3756.0072369696504</v>
      </c>
      <c r="O93" s="295">
        <f t="shared" si="24"/>
        <v>0</v>
      </c>
      <c r="P93" s="294">
        <f>J93/1.07*1.06</f>
        <v>2838.6601250000003</v>
      </c>
      <c r="Q93" s="297">
        <f>P93*1.06</f>
        <v>3008.9797325000004</v>
      </c>
      <c r="R93" s="297">
        <f>Q93*1.06</f>
        <v>3189.5185164500008</v>
      </c>
      <c r="S93" s="297">
        <f>R93*1.06</f>
        <v>3380.8896274370009</v>
      </c>
      <c r="T93" s="297">
        <f>S93*1.06</f>
        <v>3583.7430050832213</v>
      </c>
      <c r="U93" s="175"/>
    </row>
    <row r="94" spans="1:23" ht="33" hidden="1" outlineLevel="1" x14ac:dyDescent="0.2">
      <c r="A94" s="161" t="s">
        <v>143</v>
      </c>
      <c r="B94" s="188" t="s">
        <v>78</v>
      </c>
      <c r="C94" s="185" t="s">
        <v>1</v>
      </c>
      <c r="D94" s="186" t="s">
        <v>2</v>
      </c>
      <c r="E94" s="186"/>
      <c r="F94" s="168">
        <v>979.995</v>
      </c>
      <c r="G94" s="190">
        <v>975.59400000000005</v>
      </c>
      <c r="H94" s="190"/>
      <c r="I94" s="273">
        <f>J94+K94+L94+M94+N94</f>
        <v>6029.2665508531363</v>
      </c>
      <c r="J94" s="273">
        <v>1048.4333474999999</v>
      </c>
      <c r="K94" s="273">
        <v>1121.823681825</v>
      </c>
      <c r="L94" s="273">
        <v>1200.35133955275</v>
      </c>
      <c r="M94" s="273">
        <v>1284.3759333214425</v>
      </c>
      <c r="N94" s="273">
        <v>1374.2822486539435</v>
      </c>
      <c r="O94" s="274">
        <f>P94+Q94+R94+S94+T94</f>
        <v>0</v>
      </c>
      <c r="P94" s="273"/>
      <c r="Q94" s="275"/>
      <c r="R94" s="275"/>
      <c r="S94" s="275"/>
      <c r="T94" s="275"/>
      <c r="U94" s="175"/>
    </row>
    <row r="95" spans="1:23" ht="33" hidden="1" outlineLevel="1" x14ac:dyDescent="0.2">
      <c r="A95" s="183" t="s">
        <v>144</v>
      </c>
      <c r="B95" s="188" t="s">
        <v>79</v>
      </c>
      <c r="C95" s="185" t="s">
        <v>1</v>
      </c>
      <c r="D95" s="186" t="s">
        <v>2</v>
      </c>
      <c r="E95" s="186"/>
      <c r="F95" s="168">
        <v>1698.6949999999999</v>
      </c>
      <c r="G95" s="168">
        <v>1703.0129999999999</v>
      </c>
      <c r="H95" s="168"/>
      <c r="I95" s="273">
        <f>J95+K95+L95+M95+N95</f>
        <v>10449.130678540079</v>
      </c>
      <c r="J95" s="273">
        <v>1817.0065900000002</v>
      </c>
      <c r="K95" s="273">
        <v>1944.1970513000003</v>
      </c>
      <c r="L95" s="273">
        <v>2080.2908448910007</v>
      </c>
      <c r="M95" s="273">
        <v>2225.9112040333707</v>
      </c>
      <c r="N95" s="273">
        <v>2381.7249883157069</v>
      </c>
      <c r="O95" s="274">
        <f>P95+Q95+R95+S95+T95</f>
        <v>0</v>
      </c>
      <c r="P95" s="273"/>
      <c r="Q95" s="275"/>
      <c r="R95" s="275"/>
      <c r="S95" s="275"/>
      <c r="T95" s="275"/>
      <c r="U95" s="175"/>
    </row>
    <row r="96" spans="1:23" ht="33" hidden="1" outlineLevel="1" x14ac:dyDescent="0.2">
      <c r="A96" s="183"/>
      <c r="B96" s="187" t="s">
        <v>80</v>
      </c>
      <c r="C96" s="185" t="s">
        <v>1</v>
      </c>
      <c r="D96" s="186" t="s">
        <v>2</v>
      </c>
      <c r="E96" s="186"/>
      <c r="F96" s="168">
        <v>3727.2280000000001</v>
      </c>
      <c r="G96" s="168">
        <v>3792.556</v>
      </c>
      <c r="H96" s="168"/>
      <c r="I96" s="273">
        <f>J96+K96+L96+M96+N96</f>
        <v>28813.05</v>
      </c>
      <c r="J96" s="273">
        <v>5010.8625000000002</v>
      </c>
      <c r="K96" s="273">
        <v>5360.5124999999998</v>
      </c>
      <c r="L96" s="273">
        <v>5736.15</v>
      </c>
      <c r="M96" s="273">
        <v>6137.7749999999996</v>
      </c>
      <c r="N96" s="273">
        <v>6567.75</v>
      </c>
      <c r="O96" s="274">
        <f>P96+Q96+R96+S96+T96</f>
        <v>27982.709893097832</v>
      </c>
      <c r="P96" s="273">
        <f>J96/1.07*1.06</f>
        <v>4964.032009345794</v>
      </c>
      <c r="Q96" s="275">
        <f>P96*1.06</f>
        <v>5261.8739299065419</v>
      </c>
      <c r="R96" s="275">
        <f>Q96*1.06</f>
        <v>5577.5863657009349</v>
      </c>
      <c r="S96" s="275">
        <f>R96*1.06</f>
        <v>5912.2415476429915</v>
      </c>
      <c r="T96" s="275">
        <f>S96*1.06</f>
        <v>6266.9760405015713</v>
      </c>
      <c r="U96" s="175"/>
    </row>
    <row r="97" spans="1:21" ht="33" hidden="1" outlineLevel="1" x14ac:dyDescent="0.2">
      <c r="A97" s="183"/>
      <c r="B97" s="187" t="s">
        <v>81</v>
      </c>
      <c r="C97" s="185" t="s">
        <v>1</v>
      </c>
      <c r="D97" s="186" t="s">
        <v>2</v>
      </c>
      <c r="E97" s="186"/>
      <c r="F97" s="187">
        <v>353.99799999999999</v>
      </c>
      <c r="G97" s="187">
        <v>361.18099999999998</v>
      </c>
      <c r="H97" s="187"/>
      <c r="I97" s="273">
        <f>J97+K97+L97+M97+N97</f>
        <v>3279.4669033979994</v>
      </c>
      <c r="J97" s="273">
        <v>570.33037898549992</v>
      </c>
      <c r="K97" s="273">
        <v>610.12712395949995</v>
      </c>
      <c r="L97" s="273">
        <v>652.88173511400009</v>
      </c>
      <c r="M97" s="273">
        <v>698.594212449</v>
      </c>
      <c r="N97" s="273">
        <v>747.53345288999992</v>
      </c>
      <c r="O97" s="274">
        <f>P97+Q97+R97+S97+T97</f>
        <v>2993.3919999999998</v>
      </c>
      <c r="P97" s="290">
        <v>520.577</v>
      </c>
      <c r="Q97" s="273">
        <v>556.90499999999997</v>
      </c>
      <c r="R97" s="273">
        <v>595.92999999999995</v>
      </c>
      <c r="S97" s="273">
        <v>637.65499999999997</v>
      </c>
      <c r="T97" s="273">
        <v>682.32500000000005</v>
      </c>
      <c r="U97" s="175"/>
    </row>
    <row r="98" spans="1:21" ht="33" hidden="1" outlineLevel="1" x14ac:dyDescent="0.2">
      <c r="A98" s="183"/>
      <c r="B98" s="187" t="s">
        <v>82</v>
      </c>
      <c r="C98" s="185" t="s">
        <v>1</v>
      </c>
      <c r="D98" s="186" t="s">
        <v>2</v>
      </c>
      <c r="E98" s="186"/>
      <c r="F98" s="168">
        <v>1808.5419999999999</v>
      </c>
      <c r="G98" s="168">
        <v>1808.5419999999999</v>
      </c>
      <c r="H98" s="168"/>
      <c r="I98" s="273">
        <f>J98+K98+L98+M98+N98</f>
        <v>11794.599999999999</v>
      </c>
      <c r="J98" s="273">
        <v>1917.4259999999999</v>
      </c>
      <c r="K98" s="273">
        <v>2077.9520000000002</v>
      </c>
      <c r="L98" s="273">
        <v>2419.63</v>
      </c>
      <c r="M98" s="273">
        <v>2601.5259999999998</v>
      </c>
      <c r="N98" s="273">
        <v>2778.0659999999998</v>
      </c>
      <c r="O98" s="274">
        <f>P98+Q98+R98+S98+T98</f>
        <v>10861.536</v>
      </c>
      <c r="P98" s="273">
        <v>1898.337</v>
      </c>
      <c r="Q98" s="273">
        <v>2025.7650000000001</v>
      </c>
      <c r="R98" s="273">
        <v>2162.6640000000002</v>
      </c>
      <c r="S98" s="273">
        <v>2309.0340000000001</v>
      </c>
      <c r="T98" s="273">
        <v>2465.7359999999999</v>
      </c>
      <c r="U98" s="175"/>
    </row>
    <row r="99" spans="1:21" ht="33" hidden="1" x14ac:dyDescent="0.2">
      <c r="A99" s="221" t="s">
        <v>83</v>
      </c>
      <c r="B99" s="226" t="s">
        <v>84</v>
      </c>
      <c r="C99" s="238" t="s">
        <v>85</v>
      </c>
      <c r="D99" s="239" t="s">
        <v>2</v>
      </c>
      <c r="E99" s="239"/>
      <c r="F99" s="226">
        <f t="shared" ref="F99:O99" si="25">F100+F103+F104+F105+F106+F107+F108+F109+F110+F111+F112</f>
        <v>26745.875</v>
      </c>
      <c r="G99" s="226">
        <f t="shared" si="25"/>
        <v>24732.883000000005</v>
      </c>
      <c r="H99" s="226"/>
      <c r="I99" s="288">
        <f t="shared" si="25"/>
        <v>397941.51631772186</v>
      </c>
      <c r="J99" s="288">
        <f t="shared" si="25"/>
        <v>80352.560883842641</v>
      </c>
      <c r="K99" s="288">
        <f t="shared" si="25"/>
        <v>73070.430843911643</v>
      </c>
      <c r="L99" s="288">
        <f t="shared" si="25"/>
        <v>76071.952239585444</v>
      </c>
      <c r="M99" s="288">
        <f t="shared" si="25"/>
        <v>80446.34099965643</v>
      </c>
      <c r="N99" s="288">
        <f t="shared" si="25"/>
        <v>88000.231350725706</v>
      </c>
      <c r="O99" s="271">
        <f t="shared" si="25"/>
        <v>112025.23710624325</v>
      </c>
      <c r="P99" s="286">
        <f>P100+P103+P104+P105+P107+P108+P109+P110+P111</f>
        <v>27297.689975999998</v>
      </c>
      <c r="Q99" s="286">
        <f>Q100+Q103+Q104+Q105+Q107+Q108+Q109+Q110+Q111</f>
        <v>20147.569870159994</v>
      </c>
      <c r="R99" s="286">
        <f>R100+R103+R104+R105+R107+R108+R109+R110+R111</f>
        <v>20197.472435169591</v>
      </c>
      <c r="S99" s="286">
        <f>S100+S103+S104+S105+S107+S108+S109+S110+S111</f>
        <v>20562.453932679782</v>
      </c>
      <c r="T99" s="286">
        <f>T100+T103+T104+T105+T107+T108+T109+T110+T111</f>
        <v>23820.050892233885</v>
      </c>
      <c r="U99" s="175"/>
    </row>
    <row r="100" spans="1:21" ht="24" customHeight="1" x14ac:dyDescent="0.2">
      <c r="A100" s="183" t="s">
        <v>86</v>
      </c>
      <c r="B100" s="236" t="s">
        <v>87</v>
      </c>
      <c r="C100" s="185" t="s">
        <v>1</v>
      </c>
      <c r="D100" s="186" t="s">
        <v>2</v>
      </c>
      <c r="E100" s="186"/>
      <c r="F100" s="190">
        <f>F101+F102</f>
        <v>14767.933999999999</v>
      </c>
      <c r="G100" s="190">
        <f>G101+G102</f>
        <v>15274.845000000001</v>
      </c>
      <c r="H100" s="190"/>
      <c r="I100" s="273">
        <f t="shared" ref="I100:I121" si="26">J100+K100+L100+M100+N100</f>
        <v>52575.025848593301</v>
      </c>
      <c r="J100" s="273">
        <v>10683.089739999998</v>
      </c>
      <c r="K100" s="273">
        <v>10355.713619999995</v>
      </c>
      <c r="L100" s="273">
        <v>9818.1048099999934</v>
      </c>
      <c r="M100" s="273">
        <v>9560.3242499999978</v>
      </c>
      <c r="N100" s="273">
        <v>12157.793428593319</v>
      </c>
      <c r="O100" s="274">
        <f t="shared" ref="O100:O118" si="27">P100+Q100+R100+S100+T100</f>
        <v>52575.025848593301</v>
      </c>
      <c r="P100" s="273">
        <v>10683.089739999998</v>
      </c>
      <c r="Q100" s="273">
        <v>10355.713619999995</v>
      </c>
      <c r="R100" s="273">
        <v>9818.1048099999934</v>
      </c>
      <c r="S100" s="273">
        <v>9560.3242499999978</v>
      </c>
      <c r="T100" s="273">
        <v>12157.793428593319</v>
      </c>
      <c r="U100" s="175"/>
    </row>
    <row r="101" spans="1:21" ht="33" hidden="1" outlineLevel="1" x14ac:dyDescent="0.2">
      <c r="A101" s="183"/>
      <c r="B101" s="187" t="s">
        <v>27</v>
      </c>
      <c r="C101" s="185" t="s">
        <v>1</v>
      </c>
      <c r="D101" s="186" t="s">
        <v>2</v>
      </c>
      <c r="E101" s="186"/>
      <c r="F101" s="168">
        <v>764.39800000000002</v>
      </c>
      <c r="G101" s="168">
        <v>764.39700000000005</v>
      </c>
      <c r="H101" s="168"/>
      <c r="I101" s="273">
        <f t="shared" si="26"/>
        <v>0</v>
      </c>
      <c r="J101" s="273"/>
      <c r="K101" s="273"/>
      <c r="L101" s="273"/>
      <c r="M101" s="273"/>
      <c r="N101" s="273"/>
      <c r="O101" s="274">
        <f t="shared" si="27"/>
        <v>0</v>
      </c>
      <c r="P101" s="273"/>
      <c r="Q101" s="273"/>
      <c r="R101" s="273"/>
      <c r="S101" s="273"/>
      <c r="T101" s="273"/>
      <c r="U101" s="175"/>
    </row>
    <row r="102" spans="1:21" ht="21" hidden="1" customHeight="1" outlineLevel="1" x14ac:dyDescent="0.2">
      <c r="A102" s="183"/>
      <c r="B102" s="187" t="s">
        <v>28</v>
      </c>
      <c r="C102" s="185" t="s">
        <v>1</v>
      </c>
      <c r="D102" s="186" t="s">
        <v>2</v>
      </c>
      <c r="E102" s="186"/>
      <c r="F102" s="168">
        <v>14003.536</v>
      </c>
      <c r="G102" s="168">
        <v>14510.448</v>
      </c>
      <c r="H102" s="168"/>
      <c r="I102" s="273">
        <f t="shared" si="26"/>
        <v>0</v>
      </c>
      <c r="J102" s="273"/>
      <c r="K102" s="273"/>
      <c r="L102" s="273"/>
      <c r="M102" s="273"/>
      <c r="N102" s="273"/>
      <c r="O102" s="274">
        <f t="shared" si="27"/>
        <v>0</v>
      </c>
      <c r="P102" s="273"/>
      <c r="Q102" s="273"/>
      <c r="R102" s="273"/>
      <c r="S102" s="273"/>
      <c r="T102" s="273"/>
      <c r="U102" s="175"/>
    </row>
    <row r="103" spans="1:21" ht="33" hidden="1" collapsed="1" x14ac:dyDescent="0.2">
      <c r="A103" s="183" t="s">
        <v>88</v>
      </c>
      <c r="B103" s="187" t="s">
        <v>89</v>
      </c>
      <c r="C103" s="185" t="s">
        <v>1</v>
      </c>
      <c r="D103" s="186" t="s">
        <v>2</v>
      </c>
      <c r="E103" s="186"/>
      <c r="F103" s="168">
        <v>3879.0279999999998</v>
      </c>
      <c r="G103" s="168">
        <v>3854.1309999999999</v>
      </c>
      <c r="H103" s="168"/>
      <c r="I103" s="273">
        <f t="shared" si="26"/>
        <v>51710.622224788363</v>
      </c>
      <c r="J103" s="273">
        <v>8991.9960086639985</v>
      </c>
      <c r="K103" s="273">
        <v>9621.435729270479</v>
      </c>
      <c r="L103" s="273">
        <v>10294.936230319414</v>
      </c>
      <c r="M103" s="273">
        <v>11015.581766441774</v>
      </c>
      <c r="N103" s="273">
        <v>11786.672490092698</v>
      </c>
      <c r="O103" s="274">
        <f t="shared" si="27"/>
        <v>24569.145650114882</v>
      </c>
      <c r="P103" s="273">
        <v>4358.4780000000001</v>
      </c>
      <c r="Q103" s="273">
        <f>P103*1.06</f>
        <v>4619.98668</v>
      </c>
      <c r="R103" s="273">
        <f t="shared" ref="R103:T105" si="28">Q103*1.06</f>
        <v>4897.1858808000006</v>
      </c>
      <c r="S103" s="273">
        <f t="shared" si="28"/>
        <v>5191.0170336480005</v>
      </c>
      <c r="T103" s="273">
        <f t="shared" si="28"/>
        <v>5502.4780556668811</v>
      </c>
      <c r="U103" s="175"/>
    </row>
    <row r="104" spans="1:21" ht="49.5" hidden="1" x14ac:dyDescent="0.2">
      <c r="A104" s="183" t="s">
        <v>90</v>
      </c>
      <c r="B104" s="184" t="s">
        <v>91</v>
      </c>
      <c r="C104" s="185" t="s">
        <v>1</v>
      </c>
      <c r="D104" s="186" t="s">
        <v>2</v>
      </c>
      <c r="E104" s="186"/>
      <c r="F104" s="168">
        <v>2416.06</v>
      </c>
      <c r="G104" s="168">
        <v>2023.72</v>
      </c>
      <c r="H104" s="168"/>
      <c r="I104" s="273">
        <f t="shared" si="26"/>
        <v>18235.716630831641</v>
      </c>
      <c r="J104" s="273">
        <v>3171.0214285714283</v>
      </c>
      <c r="K104" s="273">
        <v>3392.9929285714284</v>
      </c>
      <c r="L104" s="273">
        <v>3630.5024335714284</v>
      </c>
      <c r="M104" s="273">
        <v>3884.6376039214288</v>
      </c>
      <c r="N104" s="273">
        <v>4156.5622361959295</v>
      </c>
      <c r="O104" s="274">
        <f t="shared" si="27"/>
        <v>15302.565291075203</v>
      </c>
      <c r="P104" s="273">
        <v>2714.62</v>
      </c>
      <c r="Q104" s="273">
        <f>P104*1.06</f>
        <v>2877.4972000000002</v>
      </c>
      <c r="R104" s="273">
        <f t="shared" si="28"/>
        <v>3050.1470320000003</v>
      </c>
      <c r="S104" s="273">
        <f t="shared" si="28"/>
        <v>3233.1558539200005</v>
      </c>
      <c r="T104" s="273">
        <f t="shared" si="28"/>
        <v>3427.1452051552005</v>
      </c>
      <c r="U104" s="175"/>
    </row>
    <row r="105" spans="1:21" ht="33" hidden="1" x14ac:dyDescent="0.2">
      <c r="A105" s="183" t="s">
        <v>92</v>
      </c>
      <c r="B105" s="187" t="s">
        <v>204</v>
      </c>
      <c r="C105" s="185" t="s">
        <v>1</v>
      </c>
      <c r="D105" s="186" t="s">
        <v>2</v>
      </c>
      <c r="E105" s="186"/>
      <c r="F105" s="168">
        <v>1123.5160000000001</v>
      </c>
      <c r="G105" s="168">
        <v>1346.9849999999999</v>
      </c>
      <c r="H105" s="168"/>
      <c r="I105" s="273">
        <f t="shared" si="26"/>
        <v>8051.0843681616207</v>
      </c>
      <c r="J105" s="273">
        <v>1400.0086517857155</v>
      </c>
      <c r="K105" s="273">
        <v>1498.0092574107157</v>
      </c>
      <c r="L105" s="273">
        <v>1602.8699054294659</v>
      </c>
      <c r="M105" s="273">
        <v>1715.0707988095287</v>
      </c>
      <c r="N105" s="273">
        <v>1835.1257547261957</v>
      </c>
      <c r="O105" s="274">
        <f t="shared" si="27"/>
        <v>7116.1928704955208</v>
      </c>
      <c r="P105" s="273">
        <v>1262.3869999999999</v>
      </c>
      <c r="Q105" s="273">
        <f>P105*1.06</f>
        <v>1338.13022</v>
      </c>
      <c r="R105" s="273">
        <f t="shared" si="28"/>
        <v>1418.4180332000001</v>
      </c>
      <c r="S105" s="273">
        <f t="shared" si="28"/>
        <v>1503.5231151920002</v>
      </c>
      <c r="T105" s="273">
        <f t="shared" si="28"/>
        <v>1593.7345021035203</v>
      </c>
      <c r="U105" s="175"/>
    </row>
    <row r="106" spans="1:21" ht="33" hidden="1" x14ac:dyDescent="0.2">
      <c r="A106" s="183" t="s">
        <v>93</v>
      </c>
      <c r="B106" s="187" t="s">
        <v>206</v>
      </c>
      <c r="C106" s="185" t="s">
        <v>1</v>
      </c>
      <c r="D106" s="186" t="s">
        <v>2</v>
      </c>
      <c r="E106" s="186"/>
      <c r="F106" s="168">
        <v>0.32100000000000001</v>
      </c>
      <c r="G106" s="168"/>
      <c r="H106" s="168"/>
      <c r="I106" s="273">
        <f t="shared" si="26"/>
        <v>0</v>
      </c>
      <c r="J106" s="273"/>
      <c r="K106" s="273"/>
      <c r="L106" s="273"/>
      <c r="M106" s="273"/>
      <c r="N106" s="273"/>
      <c r="O106" s="274">
        <f t="shared" si="27"/>
        <v>0</v>
      </c>
      <c r="P106" s="275"/>
      <c r="Q106" s="273"/>
      <c r="R106" s="273"/>
      <c r="S106" s="273"/>
      <c r="T106" s="273"/>
      <c r="U106" s="175"/>
    </row>
    <row r="107" spans="1:21" ht="33" hidden="1" x14ac:dyDescent="0.2">
      <c r="A107" s="183" t="s">
        <v>94</v>
      </c>
      <c r="B107" s="187" t="s">
        <v>43</v>
      </c>
      <c r="C107" s="185" t="s">
        <v>1</v>
      </c>
      <c r="D107" s="186" t="s">
        <v>2</v>
      </c>
      <c r="E107" s="186"/>
      <c r="F107" s="168">
        <v>230</v>
      </c>
      <c r="G107" s="168"/>
      <c r="H107" s="168"/>
      <c r="I107" s="273">
        <f t="shared" si="26"/>
        <v>221.51846666520004</v>
      </c>
      <c r="J107" s="273">
        <v>38.520000000000003</v>
      </c>
      <c r="K107" s="273">
        <v>41.216400000000007</v>
      </c>
      <c r="L107" s="273">
        <v>44.101548000000008</v>
      </c>
      <c r="M107" s="273">
        <v>47.18865636000001</v>
      </c>
      <c r="N107" s="273">
        <v>50.491862305200016</v>
      </c>
      <c r="O107" s="274">
        <f t="shared" si="27"/>
        <v>215.11146735360003</v>
      </c>
      <c r="P107" s="275">
        <f>38.52/1.07*1.06</f>
        <v>38.160000000000004</v>
      </c>
      <c r="Q107" s="273">
        <f>P107*1.06</f>
        <v>40.449600000000004</v>
      </c>
      <c r="R107" s="273">
        <f>Q107*1.06</f>
        <v>42.876576000000007</v>
      </c>
      <c r="S107" s="273">
        <f>R107*1.06</f>
        <v>45.449170560000013</v>
      </c>
      <c r="T107" s="273">
        <f>S107*1.06</f>
        <v>48.176120793600013</v>
      </c>
      <c r="U107" s="175"/>
    </row>
    <row r="108" spans="1:21" ht="33" hidden="1" x14ac:dyDescent="0.2">
      <c r="A108" s="183" t="s">
        <v>95</v>
      </c>
      <c r="B108" s="187" t="s">
        <v>219</v>
      </c>
      <c r="C108" s="185" t="s">
        <v>1</v>
      </c>
      <c r="D108" s="186" t="s">
        <v>2</v>
      </c>
      <c r="E108" s="186"/>
      <c r="F108" s="168"/>
      <c r="G108" s="168"/>
      <c r="H108" s="168"/>
      <c r="I108" s="273">
        <f t="shared" si="26"/>
        <v>9609.67</v>
      </c>
      <c r="J108" s="273">
        <v>9609.67</v>
      </c>
      <c r="K108" s="273"/>
      <c r="L108" s="273"/>
      <c r="M108" s="273"/>
      <c r="N108" s="273"/>
      <c r="O108" s="274">
        <f t="shared" si="27"/>
        <v>5999</v>
      </c>
      <c r="P108" s="273">
        <v>5999</v>
      </c>
      <c r="Q108" s="273" t="s">
        <v>141</v>
      </c>
      <c r="R108" s="273"/>
      <c r="S108" s="273"/>
      <c r="T108" s="273"/>
      <c r="U108" s="175"/>
    </row>
    <row r="109" spans="1:21" ht="33" hidden="1" x14ac:dyDescent="0.2">
      <c r="A109" s="183" t="s">
        <v>220</v>
      </c>
      <c r="B109" s="187" t="s">
        <v>221</v>
      </c>
      <c r="C109" s="185" t="s">
        <v>1</v>
      </c>
      <c r="D109" s="186" t="s">
        <v>2</v>
      </c>
      <c r="E109" s="186"/>
      <c r="F109" s="168">
        <v>950</v>
      </c>
      <c r="G109" s="168">
        <v>820</v>
      </c>
      <c r="H109" s="168"/>
      <c r="I109" s="273">
        <f t="shared" si="26"/>
        <v>3371</v>
      </c>
      <c r="J109" s="273">
        <v>2261</v>
      </c>
      <c r="K109" s="273">
        <v>870</v>
      </c>
      <c r="L109" s="273">
        <v>80</v>
      </c>
      <c r="M109" s="273">
        <v>80</v>
      </c>
      <c r="N109" s="273">
        <v>80</v>
      </c>
      <c r="O109" s="274">
        <f t="shared" si="27"/>
        <v>1378</v>
      </c>
      <c r="P109" s="275">
        <f>1300*1.06</f>
        <v>1378</v>
      </c>
      <c r="Q109" s="273" t="s">
        <v>141</v>
      </c>
      <c r="R109" s="273"/>
      <c r="S109" s="273"/>
      <c r="T109" s="273"/>
      <c r="U109" s="175"/>
    </row>
    <row r="110" spans="1:21" ht="33" hidden="1" x14ac:dyDescent="0.2">
      <c r="A110" s="183" t="s">
        <v>222</v>
      </c>
      <c r="B110" s="187" t="s">
        <v>223</v>
      </c>
      <c r="C110" s="185" t="s">
        <v>1</v>
      </c>
      <c r="D110" s="186" t="s">
        <v>2</v>
      </c>
      <c r="E110" s="186"/>
      <c r="F110" s="168">
        <f>18.52+84.418+387.068</f>
        <v>490.00599999999997</v>
      </c>
      <c r="G110" s="168">
        <f>139.418+351.214</f>
        <v>490.63200000000001</v>
      </c>
      <c r="H110" s="168"/>
      <c r="I110" s="273">
        <f t="shared" si="26"/>
        <v>251770.39717776439</v>
      </c>
      <c r="J110" s="273">
        <v>43780.529205022009</v>
      </c>
      <c r="K110" s="273">
        <f>J110*1.07</f>
        <v>46845.166249373549</v>
      </c>
      <c r="L110" s="273">
        <f>K110*1.07</f>
        <v>50124.327886829698</v>
      </c>
      <c r="M110" s="273">
        <f>L110*1.07</f>
        <v>53633.030838907784</v>
      </c>
      <c r="N110" s="273">
        <f>M110*1.07</f>
        <v>57387.342997631335</v>
      </c>
      <c r="O110" s="274">
        <f t="shared" si="27"/>
        <v>3103.6437868059402</v>
      </c>
      <c r="P110" s="275">
        <f>490.01*1.06*1.06</f>
        <v>550.57523600000013</v>
      </c>
      <c r="Q110" s="273">
        <f>P110*1.06</f>
        <v>583.6097501600002</v>
      </c>
      <c r="R110" s="273">
        <f t="shared" ref="R110:T111" si="29">Q110*1.06</f>
        <v>618.62633516960022</v>
      </c>
      <c r="S110" s="273">
        <f t="shared" si="29"/>
        <v>655.74391527977627</v>
      </c>
      <c r="T110" s="273">
        <f t="shared" si="29"/>
        <v>695.08855019656289</v>
      </c>
      <c r="U110" s="175"/>
    </row>
    <row r="111" spans="1:21" ht="33" hidden="1" x14ac:dyDescent="0.2">
      <c r="A111" s="183" t="s">
        <v>224</v>
      </c>
      <c r="B111" s="184" t="s">
        <v>225</v>
      </c>
      <c r="C111" s="185" t="s">
        <v>1</v>
      </c>
      <c r="D111" s="186" t="s">
        <v>2</v>
      </c>
      <c r="E111" s="186"/>
      <c r="F111" s="168">
        <v>278.91000000000003</v>
      </c>
      <c r="G111" s="168">
        <v>278.13200000000001</v>
      </c>
      <c r="H111" s="168"/>
      <c r="I111" s="273">
        <f t="shared" si="26"/>
        <v>2396.4816009173783</v>
      </c>
      <c r="J111" s="273">
        <v>416.7258497994988</v>
      </c>
      <c r="K111" s="273">
        <v>445.89665928546373</v>
      </c>
      <c r="L111" s="273">
        <v>477.10942543544621</v>
      </c>
      <c r="M111" s="273">
        <v>510.50708521592748</v>
      </c>
      <c r="N111" s="273">
        <v>546.2425811810424</v>
      </c>
      <c r="O111" s="274">
        <f t="shared" si="27"/>
        <v>1766.5521918047998</v>
      </c>
      <c r="P111" s="273">
        <v>313.38</v>
      </c>
      <c r="Q111" s="273">
        <f>P111*1.06</f>
        <v>332.18279999999999</v>
      </c>
      <c r="R111" s="273">
        <f t="shared" si="29"/>
        <v>352.11376799999999</v>
      </c>
      <c r="S111" s="273">
        <f t="shared" si="29"/>
        <v>373.24059407999999</v>
      </c>
      <c r="T111" s="273">
        <f t="shared" si="29"/>
        <v>395.63502972480001</v>
      </c>
      <c r="U111" s="175"/>
    </row>
    <row r="112" spans="1:21" ht="33" hidden="1" x14ac:dyDescent="0.2">
      <c r="A112" s="183" t="s">
        <v>226</v>
      </c>
      <c r="B112" s="187" t="s">
        <v>67</v>
      </c>
      <c r="C112" s="185" t="s">
        <v>1</v>
      </c>
      <c r="D112" s="186" t="s">
        <v>2</v>
      </c>
      <c r="E112" s="186"/>
      <c r="F112" s="245">
        <f>12.888+1577.563+869.649+150</f>
        <v>2610.1</v>
      </c>
      <c r="G112" s="245">
        <f>5.252+1.3+48.663+1.236+90+347.987+150</f>
        <v>644.43799999999999</v>
      </c>
      <c r="H112" s="245"/>
      <c r="I112" s="273">
        <f t="shared" si="26"/>
        <v>0</v>
      </c>
      <c r="J112" s="273"/>
      <c r="K112" s="273"/>
      <c r="L112" s="273"/>
      <c r="M112" s="273"/>
      <c r="N112" s="273"/>
      <c r="O112" s="274">
        <f t="shared" si="27"/>
        <v>0</v>
      </c>
      <c r="P112" s="273"/>
      <c r="Q112" s="273"/>
      <c r="R112" s="273"/>
      <c r="S112" s="273"/>
      <c r="T112" s="273"/>
      <c r="U112" s="175"/>
    </row>
    <row r="113" spans="1:23" ht="33" hidden="1" x14ac:dyDescent="0.2">
      <c r="A113" s="183" t="s">
        <v>227</v>
      </c>
      <c r="B113" s="226" t="s">
        <v>96</v>
      </c>
      <c r="C113" s="185" t="s">
        <v>1</v>
      </c>
      <c r="D113" s="186" t="s">
        <v>2</v>
      </c>
      <c r="E113" s="186"/>
      <c r="F113" s="168">
        <f>F114+F115+F116+F117+F118+F119+F120</f>
        <v>8482.1790000000001</v>
      </c>
      <c r="G113" s="168">
        <f t="shared" ref="G113:N113" si="30">G114+G115+G116+G117+G118+G119+G120</f>
        <v>8555.8919999999998</v>
      </c>
      <c r="H113" s="168"/>
      <c r="I113" s="273">
        <f t="shared" si="26"/>
        <v>53989.107132904501</v>
      </c>
      <c r="J113" s="288">
        <f t="shared" si="30"/>
        <v>9512.700390297523</v>
      </c>
      <c r="K113" s="288">
        <f t="shared" si="30"/>
        <v>10000.361816189779</v>
      </c>
      <c r="L113" s="288">
        <f t="shared" si="30"/>
        <v>10767.059610851637</v>
      </c>
      <c r="M113" s="288">
        <f t="shared" si="30"/>
        <v>11461.058485845964</v>
      </c>
      <c r="N113" s="288">
        <f t="shared" si="30"/>
        <v>12247.926829719594</v>
      </c>
      <c r="O113" s="271">
        <f t="shared" si="27"/>
        <v>33862.651056307783</v>
      </c>
      <c r="P113" s="288">
        <f>P115+P116+P117+P118+P119+P120</f>
        <v>5984.2388840000012</v>
      </c>
      <c r="Q113" s="288">
        <f>Q115+Q116+Q117+Q118+Q119+Q120</f>
        <v>6354.5810370400004</v>
      </c>
      <c r="R113" s="288">
        <f>R115+R116+R117+R118+R119+R120</f>
        <v>6748.0345592624017</v>
      </c>
      <c r="S113" s="288">
        <f>S115+S116+S117+S118+S119+S120</f>
        <v>7165.9481728181454</v>
      </c>
      <c r="T113" s="288">
        <f>T115+T116+T117+T118+T119+T120</f>
        <v>7609.8484031872349</v>
      </c>
      <c r="U113" s="175"/>
    </row>
    <row r="114" spans="1:23" ht="33" hidden="1" x14ac:dyDescent="0.2">
      <c r="A114" s="183" t="s">
        <v>97</v>
      </c>
      <c r="B114" s="184" t="s">
        <v>98</v>
      </c>
      <c r="C114" s="185" t="s">
        <v>1</v>
      </c>
      <c r="D114" s="186" t="s">
        <v>2</v>
      </c>
      <c r="E114" s="186"/>
      <c r="F114" s="168">
        <v>3099.76</v>
      </c>
      <c r="G114" s="168">
        <v>3099.76</v>
      </c>
      <c r="H114" s="168"/>
      <c r="I114" s="273">
        <f t="shared" si="26"/>
        <v>0</v>
      </c>
      <c r="J114" s="273"/>
      <c r="K114" s="273"/>
      <c r="L114" s="273"/>
      <c r="M114" s="273"/>
      <c r="N114" s="273"/>
      <c r="O114" s="274">
        <f t="shared" si="27"/>
        <v>0</v>
      </c>
      <c r="P114" s="273"/>
      <c r="Q114" s="273"/>
      <c r="R114" s="273"/>
      <c r="S114" s="273"/>
      <c r="T114" s="273"/>
      <c r="U114" s="175"/>
    </row>
    <row r="115" spans="1:23" ht="33" hidden="1" x14ac:dyDescent="0.2">
      <c r="A115" s="183" t="s">
        <v>99</v>
      </c>
      <c r="B115" s="184" t="s">
        <v>202</v>
      </c>
      <c r="C115" s="185" t="s">
        <v>1</v>
      </c>
      <c r="D115" s="186" t="s">
        <v>2</v>
      </c>
      <c r="E115" s="186"/>
      <c r="F115" s="168">
        <v>1539.479</v>
      </c>
      <c r="G115" s="168">
        <v>1635.338</v>
      </c>
      <c r="H115" s="168"/>
      <c r="I115" s="273">
        <f t="shared" si="26"/>
        <v>16102.718831478571</v>
      </c>
      <c r="J115" s="273">
        <v>2800.1129599999999</v>
      </c>
      <c r="K115" s="273">
        <v>2996.1208672000002</v>
      </c>
      <c r="L115" s="273">
        <v>3205.8493279040003</v>
      </c>
      <c r="M115" s="273">
        <v>3430.2587808572807</v>
      </c>
      <c r="N115" s="273">
        <v>3670.3768955172904</v>
      </c>
      <c r="O115" s="274">
        <f t="shared" si="27"/>
        <v>9750.8163852003163</v>
      </c>
      <c r="P115" s="290">
        <f>1539.48*1.06*1.06</f>
        <v>1729.7597280000002</v>
      </c>
      <c r="Q115" s="273">
        <f>P115*1.06</f>
        <v>1833.5453116800004</v>
      </c>
      <c r="R115" s="273">
        <f t="shared" ref="R115:T117" si="31">Q115*1.06</f>
        <v>1943.5580303808006</v>
      </c>
      <c r="S115" s="273">
        <f t="shared" si="31"/>
        <v>2060.1715122036485</v>
      </c>
      <c r="T115" s="273">
        <f t="shared" si="31"/>
        <v>2183.7818029358673</v>
      </c>
      <c r="U115" s="175"/>
    </row>
    <row r="116" spans="1:23" ht="33" hidden="1" x14ac:dyDescent="0.2">
      <c r="A116" s="183" t="s">
        <v>100</v>
      </c>
      <c r="B116" s="224" t="s">
        <v>101</v>
      </c>
      <c r="C116" s="185" t="s">
        <v>1</v>
      </c>
      <c r="D116" s="186" t="s">
        <v>2</v>
      </c>
      <c r="E116" s="186"/>
      <c r="F116" s="168">
        <v>573.33399999999995</v>
      </c>
      <c r="G116" s="168">
        <v>566.21699999999998</v>
      </c>
      <c r="H116" s="168"/>
      <c r="I116" s="273">
        <f t="shared" si="26"/>
        <v>4583.4093022892503</v>
      </c>
      <c r="J116" s="273">
        <v>829.90995148800016</v>
      </c>
      <c r="K116" s="273">
        <v>870.36364809216013</v>
      </c>
      <c r="L116" s="273">
        <v>913.64910345861142</v>
      </c>
      <c r="M116" s="273">
        <v>959.96454070071411</v>
      </c>
      <c r="N116" s="273">
        <v>1009.5220585497642</v>
      </c>
      <c r="O116" s="274">
        <f t="shared" si="27"/>
        <v>3631.4044751425399</v>
      </c>
      <c r="P116" s="273">
        <f>F116*1.06*1.06</f>
        <v>644.19808239999998</v>
      </c>
      <c r="Q116" s="273">
        <f>P116*1.06</f>
        <v>682.84996734399999</v>
      </c>
      <c r="R116" s="273">
        <f t="shared" si="31"/>
        <v>723.82096538463998</v>
      </c>
      <c r="S116" s="273">
        <f t="shared" si="31"/>
        <v>767.25022330771844</v>
      </c>
      <c r="T116" s="273">
        <f t="shared" si="31"/>
        <v>813.28523670618154</v>
      </c>
      <c r="U116" s="175"/>
    </row>
    <row r="117" spans="1:23" ht="33" hidden="1" x14ac:dyDescent="0.2">
      <c r="A117" s="183" t="s">
        <v>102</v>
      </c>
      <c r="B117" s="187" t="s">
        <v>103</v>
      </c>
      <c r="C117" s="185" t="s">
        <v>1</v>
      </c>
      <c r="D117" s="186" t="s">
        <v>2</v>
      </c>
      <c r="E117" s="186"/>
      <c r="F117" s="190">
        <f>772.182+374.194</f>
        <v>1146.376</v>
      </c>
      <c r="G117" s="190">
        <v>1409.6990000000001</v>
      </c>
      <c r="H117" s="190"/>
      <c r="I117" s="273">
        <f t="shared" si="26"/>
        <v>18745.783234248771</v>
      </c>
      <c r="J117" s="273">
        <v>3256.4333559523802</v>
      </c>
      <c r="K117" s="273">
        <v>3485.9979808690473</v>
      </c>
      <c r="L117" s="273">
        <v>3731.777415629881</v>
      </c>
      <c r="M117" s="273">
        <v>3994.9197726729722</v>
      </c>
      <c r="N117" s="273">
        <v>4276.6547091244911</v>
      </c>
      <c r="O117" s="274"/>
      <c r="P117" s="273">
        <f>F117*1.06*1.06</f>
        <v>1288.0680736000002</v>
      </c>
      <c r="Q117" s="273">
        <f>P117*1.06</f>
        <v>1365.3521580160002</v>
      </c>
      <c r="R117" s="273">
        <f t="shared" si="31"/>
        <v>1447.2732874969604</v>
      </c>
      <c r="S117" s="273">
        <f t="shared" si="31"/>
        <v>1534.1096847467782</v>
      </c>
      <c r="T117" s="273">
        <f t="shared" si="31"/>
        <v>1626.156265831585</v>
      </c>
      <c r="U117" s="175"/>
    </row>
    <row r="118" spans="1:23" ht="33" hidden="1" x14ac:dyDescent="0.2">
      <c r="A118" s="183" t="s">
        <v>104</v>
      </c>
      <c r="B118" s="187" t="s">
        <v>105</v>
      </c>
      <c r="C118" s="185" t="s">
        <v>1</v>
      </c>
      <c r="D118" s="186" t="s">
        <v>2</v>
      </c>
      <c r="E118" s="186"/>
      <c r="F118" s="168">
        <v>285.505</v>
      </c>
      <c r="G118" s="168">
        <v>285.31200000000001</v>
      </c>
      <c r="H118" s="168"/>
      <c r="I118" s="273">
        <f t="shared" si="26"/>
        <v>6661.1035714285708</v>
      </c>
      <c r="J118" s="273">
        <v>1274.1071428571427</v>
      </c>
      <c r="K118" s="273">
        <v>1213.3035714285713</v>
      </c>
      <c r="L118" s="273">
        <v>1298.2321428571427</v>
      </c>
      <c r="M118" s="273">
        <v>1389.1116071428571</v>
      </c>
      <c r="N118" s="273">
        <v>1486.3491071428571</v>
      </c>
      <c r="O118" s="274">
        <f t="shared" si="27"/>
        <v>6545.66</v>
      </c>
      <c r="P118" s="275">
        <v>1138.3030000000001</v>
      </c>
      <c r="Q118" s="273">
        <v>1217.8889999999999</v>
      </c>
      <c r="R118" s="273">
        <v>1303.1410000000001</v>
      </c>
      <c r="S118" s="273">
        <v>1394.3610000000001</v>
      </c>
      <c r="T118" s="273">
        <v>1491.9659999999999</v>
      </c>
      <c r="U118" s="175"/>
    </row>
    <row r="119" spans="1:23" ht="33" hidden="1" x14ac:dyDescent="0.2">
      <c r="A119" s="183" t="s">
        <v>106</v>
      </c>
      <c r="B119" s="187" t="s">
        <v>107</v>
      </c>
      <c r="C119" s="185" t="s">
        <v>1</v>
      </c>
      <c r="D119" s="186" t="s">
        <v>2</v>
      </c>
      <c r="E119" s="186"/>
      <c r="F119" s="168">
        <v>1335.443</v>
      </c>
      <c r="G119" s="168">
        <v>1071.5060000000001</v>
      </c>
      <c r="H119" s="168"/>
      <c r="I119" s="273">
        <f t="shared" si="26"/>
        <v>5109.7960000000003</v>
      </c>
      <c r="J119" s="273">
        <v>867.62599999999998</v>
      </c>
      <c r="K119" s="273">
        <v>916.149</v>
      </c>
      <c r="L119" s="273">
        <v>1062.835</v>
      </c>
      <c r="M119" s="273">
        <v>1093.2570000000001</v>
      </c>
      <c r="N119" s="273">
        <v>1169.9290000000001</v>
      </c>
      <c r="O119" s="274"/>
      <c r="P119" s="290">
        <v>859.52</v>
      </c>
      <c r="Q119" s="273">
        <f>P119*1.06</f>
        <v>911.09120000000007</v>
      </c>
      <c r="R119" s="273">
        <f t="shared" ref="R119:T120" si="32">Q119*1.06</f>
        <v>965.75667200000009</v>
      </c>
      <c r="S119" s="273">
        <f t="shared" si="32"/>
        <v>1023.7020723200002</v>
      </c>
      <c r="T119" s="273">
        <f t="shared" si="32"/>
        <v>1085.1241966592002</v>
      </c>
      <c r="U119" s="175"/>
    </row>
    <row r="120" spans="1:23" ht="33" hidden="1" x14ac:dyDescent="0.2">
      <c r="A120" s="183" t="s">
        <v>108</v>
      </c>
      <c r="B120" s="187" t="s">
        <v>109</v>
      </c>
      <c r="C120" s="185" t="s">
        <v>1</v>
      </c>
      <c r="D120" s="186" t="s">
        <v>2</v>
      </c>
      <c r="E120" s="186"/>
      <c r="F120" s="168">
        <v>502.28199999999998</v>
      </c>
      <c r="G120" s="168">
        <v>488.06</v>
      </c>
      <c r="H120" s="168"/>
      <c r="I120" s="273">
        <f t="shared" si="26"/>
        <v>2786.29619345933</v>
      </c>
      <c r="J120" s="273">
        <v>484.51098000000002</v>
      </c>
      <c r="K120" s="273">
        <v>518.4267486</v>
      </c>
      <c r="L120" s="273">
        <v>554.71662100200001</v>
      </c>
      <c r="M120" s="273">
        <v>593.54678447214008</v>
      </c>
      <c r="N120" s="273">
        <v>635.09505938518987</v>
      </c>
      <c r="O120" s="274"/>
      <c r="P120" s="273">
        <v>324.39</v>
      </c>
      <c r="Q120" s="273">
        <f>P120*1.06</f>
        <v>343.85340000000002</v>
      </c>
      <c r="R120" s="273">
        <f t="shared" si="32"/>
        <v>364.48460400000005</v>
      </c>
      <c r="S120" s="273">
        <f t="shared" si="32"/>
        <v>386.35368024000007</v>
      </c>
      <c r="T120" s="273">
        <f t="shared" si="32"/>
        <v>409.53490105440011</v>
      </c>
      <c r="U120" s="175"/>
    </row>
    <row r="121" spans="1:23" s="162" customFormat="1" ht="33" hidden="1" x14ac:dyDescent="0.2">
      <c r="A121" s="221" t="s">
        <v>199</v>
      </c>
      <c r="B121" s="226" t="s">
        <v>110</v>
      </c>
      <c r="C121" s="185" t="s">
        <v>1</v>
      </c>
      <c r="D121" s="186" t="s">
        <v>2</v>
      </c>
      <c r="E121" s="186"/>
      <c r="F121" s="226">
        <v>142178.54999999999</v>
      </c>
      <c r="G121" s="226">
        <v>133556.99400000001</v>
      </c>
      <c r="H121" s="226">
        <v>104337</v>
      </c>
      <c r="I121" s="288">
        <f t="shared" si="26"/>
        <v>89496.209880000009</v>
      </c>
      <c r="J121" s="288">
        <v>64589.636349999993</v>
      </c>
      <c r="K121" s="288">
        <v>24842.167910000004</v>
      </c>
      <c r="L121" s="288">
        <v>64.405619999999999</v>
      </c>
      <c r="M121" s="273">
        <v>0</v>
      </c>
      <c r="N121" s="273">
        <v>0</v>
      </c>
      <c r="O121" s="271"/>
      <c r="P121" s="288">
        <v>64589.636349999993</v>
      </c>
      <c r="Q121" s="288">
        <v>24842.167910000004</v>
      </c>
      <c r="R121" s="288">
        <v>64.405619999999999</v>
      </c>
      <c r="S121" s="273">
        <v>0</v>
      </c>
      <c r="T121" s="273">
        <v>0</v>
      </c>
      <c r="U121" s="175"/>
      <c r="V121" s="255"/>
      <c r="W121" s="255"/>
    </row>
    <row r="122" spans="1:23" s="248" customFormat="1" ht="40.5" customHeight="1" x14ac:dyDescent="0.2">
      <c r="A122" s="246" t="s">
        <v>111</v>
      </c>
      <c r="B122" s="247" t="s">
        <v>112</v>
      </c>
      <c r="C122" s="185" t="s">
        <v>1</v>
      </c>
      <c r="D122" s="186" t="s">
        <v>2</v>
      </c>
      <c r="E122" s="239">
        <v>1716695.49</v>
      </c>
      <c r="F122" s="240">
        <f t="shared" ref="F122:T122" si="33">F8+F84</f>
        <v>2082625.48694</v>
      </c>
      <c r="G122" s="240">
        <f t="shared" si="33"/>
        <v>2140676.4469999997</v>
      </c>
      <c r="H122" s="240">
        <f>1053292.07+323800+696578.8</f>
        <v>2073670.87</v>
      </c>
      <c r="I122" s="292">
        <f t="shared" si="33"/>
        <v>24892879.242495053</v>
      </c>
      <c r="J122" s="292">
        <f t="shared" si="33"/>
        <v>4033478.4947292558</v>
      </c>
      <c r="K122" s="292">
        <f t="shared" si="33"/>
        <v>4492082.0371057801</v>
      </c>
      <c r="L122" s="292">
        <f t="shared" si="33"/>
        <v>4905563.4353519948</v>
      </c>
      <c r="M122" s="292">
        <f t="shared" si="33"/>
        <v>5434021.5302000716</v>
      </c>
      <c r="N122" s="292">
        <f t="shared" si="33"/>
        <v>6029728.301107958</v>
      </c>
      <c r="O122" s="268">
        <f t="shared" si="33"/>
        <v>11285083.635795787</v>
      </c>
      <c r="P122" s="292">
        <f t="shared" si="33"/>
        <v>2419054.0709516793</v>
      </c>
      <c r="Q122" s="292">
        <f t="shared" si="33"/>
        <v>2665840.7666426497</v>
      </c>
      <c r="R122" s="292">
        <f t="shared" si="33"/>
        <v>2852013.5804004488</v>
      </c>
      <c r="S122" s="292">
        <f t="shared" si="33"/>
        <v>3083176.5243163933</v>
      </c>
      <c r="T122" s="292">
        <f t="shared" si="33"/>
        <v>3372979.2486380348</v>
      </c>
      <c r="U122" s="175"/>
      <c r="V122" s="253"/>
      <c r="W122" s="253"/>
    </row>
    <row r="123" spans="1:23" s="201" customFormat="1" ht="31.5" customHeight="1" x14ac:dyDescent="0.2">
      <c r="A123" s="197" t="s">
        <v>113</v>
      </c>
      <c r="B123" s="198" t="s">
        <v>114</v>
      </c>
      <c r="C123" s="212" t="s">
        <v>1</v>
      </c>
      <c r="D123" s="180" t="s">
        <v>2</v>
      </c>
      <c r="E123" s="199">
        <v>185971.51</v>
      </c>
      <c r="F123" s="211">
        <f>F125-F122</f>
        <v>138543.61906000017</v>
      </c>
      <c r="G123" s="211">
        <f>G125-G122</f>
        <v>90150.899670000188</v>
      </c>
      <c r="H123" s="211">
        <v>244332</v>
      </c>
      <c r="I123" s="298">
        <f>J123+K123+L123+M123+N123</f>
        <v>1017567.9980849915</v>
      </c>
      <c r="J123" s="298">
        <v>254864.91473578001</v>
      </c>
      <c r="K123" s="298">
        <v>249552.44847294729</v>
      </c>
      <c r="L123" s="298">
        <v>218088.83207272185</v>
      </c>
      <c r="M123" s="298">
        <v>181646.96914362386</v>
      </c>
      <c r="N123" s="298">
        <v>113414.83365991837</v>
      </c>
      <c r="O123" s="299"/>
      <c r="P123" s="298">
        <v>203891.94</v>
      </c>
      <c r="Q123" s="298">
        <v>199641.96</v>
      </c>
      <c r="R123" s="298">
        <v>174472.86</v>
      </c>
      <c r="S123" s="298">
        <f>'2 вариант'!S123</f>
        <v>195573.27</v>
      </c>
      <c r="T123" s="298">
        <f>'2 вариант'!T123</f>
        <v>40628.22</v>
      </c>
      <c r="U123" s="175"/>
      <c r="V123" s="279"/>
      <c r="W123" s="279"/>
    </row>
    <row r="124" spans="1:23" s="248" customFormat="1" ht="33.75" customHeight="1" x14ac:dyDescent="0.2">
      <c r="A124" s="246" t="s">
        <v>115</v>
      </c>
      <c r="B124" s="247" t="s">
        <v>116</v>
      </c>
      <c r="C124" s="185" t="s">
        <v>1</v>
      </c>
      <c r="D124" s="186" t="s">
        <v>2</v>
      </c>
      <c r="E124" s="239"/>
      <c r="F124" s="240"/>
      <c r="G124" s="226"/>
      <c r="H124" s="226"/>
      <c r="I124" s="251"/>
      <c r="J124" s="251">
        <v>1768615.9461299998</v>
      </c>
      <c r="K124" s="251">
        <v>1440491.4279399998</v>
      </c>
      <c r="L124" s="251">
        <v>1987738.9038065628</v>
      </c>
      <c r="M124" s="251">
        <v>2538190.1890831292</v>
      </c>
      <c r="N124" s="251">
        <v>3093402.7329096938</v>
      </c>
      <c r="O124" s="299"/>
      <c r="P124" s="251"/>
      <c r="Q124" s="251"/>
      <c r="R124" s="251"/>
      <c r="S124" s="251"/>
      <c r="T124" s="251"/>
      <c r="U124" s="175"/>
      <c r="V124" s="253"/>
      <c r="W124" s="253"/>
    </row>
    <row r="125" spans="1:23" s="248" customFormat="1" ht="33" x14ac:dyDescent="0.2">
      <c r="A125" s="246" t="s">
        <v>117</v>
      </c>
      <c r="B125" s="247" t="s">
        <v>228</v>
      </c>
      <c r="C125" s="185" t="s">
        <v>1</v>
      </c>
      <c r="D125" s="186" t="s">
        <v>2</v>
      </c>
      <c r="E125" s="239">
        <v>1902667</v>
      </c>
      <c r="F125" s="240">
        <v>2221169.1060000001</v>
      </c>
      <c r="G125" s="240">
        <v>2230827.3466699999</v>
      </c>
      <c r="H125" s="240">
        <f>H122+H123</f>
        <v>2318002.87</v>
      </c>
      <c r="I125" s="288">
        <f>J125+K125+L125+M125+N125</f>
        <v>25912441.796580046</v>
      </c>
      <c r="J125" s="288">
        <f>J123+J122</f>
        <v>4288343.4094650354</v>
      </c>
      <c r="K125" s="288">
        <f>K123+K122</f>
        <v>4741634.485578727</v>
      </c>
      <c r="L125" s="288">
        <f>L123+L122</f>
        <v>5123652.2674247166</v>
      </c>
      <c r="M125" s="288">
        <f>M123+M122</f>
        <v>5615668.4993436951</v>
      </c>
      <c r="N125" s="288">
        <f>N123+N122</f>
        <v>6143143.134767876</v>
      </c>
      <c r="O125" s="271"/>
      <c r="P125" s="288">
        <f>P122+P123</f>
        <v>2622946.0109516792</v>
      </c>
      <c r="Q125" s="288">
        <f>Q122+Q123</f>
        <v>2865482.7266426496</v>
      </c>
      <c r="R125" s="288">
        <f>R122+R123</f>
        <v>3026486.4404004486</v>
      </c>
      <c r="S125" s="288">
        <f>S122+S123</f>
        <v>3278749.7943163933</v>
      </c>
      <c r="T125" s="288">
        <f>T122+T123</f>
        <v>3413607.468638035</v>
      </c>
      <c r="U125" s="175">
        <f>P125-J125</f>
        <v>-1665397.3985133562</v>
      </c>
      <c r="V125" s="253"/>
      <c r="W125" s="253"/>
    </row>
    <row r="126" spans="1:23" s="248" customFormat="1" ht="33" x14ac:dyDescent="0.2">
      <c r="A126" s="246" t="s">
        <v>229</v>
      </c>
      <c r="B126" s="247" t="s">
        <v>230</v>
      </c>
      <c r="C126" s="249" t="s">
        <v>231</v>
      </c>
      <c r="D126" s="186" t="s">
        <v>2</v>
      </c>
      <c r="E126" s="239">
        <v>1277125.03</v>
      </c>
      <c r="F126" s="240">
        <v>1346163.095</v>
      </c>
      <c r="G126" s="226">
        <v>1333981.8570000001</v>
      </c>
      <c r="H126" s="226">
        <v>1336436.52</v>
      </c>
      <c r="I126" s="288">
        <f>J126+K126+L126+M126+N126</f>
        <v>6755730.3600000003</v>
      </c>
      <c r="J126" s="288">
        <v>1323660.892</v>
      </c>
      <c r="K126" s="292">
        <v>1335002.892</v>
      </c>
      <c r="L126" s="292">
        <v>1354391.9920000001</v>
      </c>
      <c r="M126" s="292">
        <v>1364534.9920000001</v>
      </c>
      <c r="N126" s="292">
        <v>1378139.5919999999</v>
      </c>
      <c r="O126" s="271">
        <f>P126+Q126+R126+S126+T126</f>
        <v>6755730.3600000003</v>
      </c>
      <c r="P126" s="288">
        <v>1323660.892</v>
      </c>
      <c r="Q126" s="292">
        <v>1335002.892</v>
      </c>
      <c r="R126" s="292">
        <v>1354391.9920000001</v>
      </c>
      <c r="S126" s="292">
        <v>1364534.9920000001</v>
      </c>
      <c r="T126" s="292">
        <v>1378139.5919999999</v>
      </c>
      <c r="U126" s="266"/>
      <c r="V126" s="300"/>
      <c r="W126" s="300"/>
    </row>
    <row r="127" spans="1:23" s="248" customFormat="1" x14ac:dyDescent="0.2">
      <c r="A127" s="375" t="s">
        <v>232</v>
      </c>
      <c r="B127" s="377" t="s">
        <v>233</v>
      </c>
      <c r="C127" s="249" t="s">
        <v>234</v>
      </c>
      <c r="D127" s="186" t="s">
        <v>2</v>
      </c>
      <c r="E127" s="239"/>
      <c r="F127" s="240"/>
      <c r="G127" s="226"/>
      <c r="H127" s="226"/>
      <c r="I127" s="301"/>
      <c r="J127" s="251">
        <v>4.5</v>
      </c>
      <c r="K127" s="249">
        <v>4.4400000000000004</v>
      </c>
      <c r="L127" s="249">
        <v>4.43</v>
      </c>
      <c r="M127" s="249">
        <v>4.42</v>
      </c>
      <c r="N127" s="249">
        <v>4.4400000000000004</v>
      </c>
      <c r="O127" s="302"/>
      <c r="P127" s="251"/>
      <c r="Q127" s="249"/>
      <c r="R127" s="249"/>
      <c r="S127" s="249"/>
      <c r="T127" s="249"/>
      <c r="U127" s="175"/>
      <c r="V127" s="253"/>
      <c r="W127" s="253"/>
    </row>
    <row r="128" spans="1:23" s="248" customFormat="1" ht="33" x14ac:dyDescent="0.2">
      <c r="A128" s="376"/>
      <c r="B128" s="378"/>
      <c r="C128" s="249" t="s">
        <v>231</v>
      </c>
      <c r="D128" s="186" t="s">
        <v>2</v>
      </c>
      <c r="E128" s="239"/>
      <c r="F128" s="240"/>
      <c r="G128" s="226"/>
      <c r="H128" s="226"/>
      <c r="I128" s="251"/>
      <c r="J128" s="251">
        <v>62588.303999999996</v>
      </c>
      <c r="K128" s="249">
        <v>62242.002</v>
      </c>
      <c r="L128" s="249">
        <v>62994.071000000004</v>
      </c>
      <c r="M128" s="249">
        <v>63314.349000000002</v>
      </c>
      <c r="N128" s="249">
        <v>64246.260999999999</v>
      </c>
      <c r="O128" s="299"/>
      <c r="P128" s="251"/>
      <c r="Q128" s="249"/>
      <c r="R128" s="249"/>
      <c r="S128" s="249"/>
      <c r="T128" s="249"/>
      <c r="U128" s="175"/>
      <c r="V128" s="253"/>
      <c r="W128" s="253"/>
    </row>
    <row r="129" spans="1:23" s="324" customFormat="1" ht="41.25" customHeight="1" x14ac:dyDescent="0.2">
      <c r="A129" s="319" t="s">
        <v>235</v>
      </c>
      <c r="B129" s="320" t="s">
        <v>236</v>
      </c>
      <c r="C129" s="311" t="s">
        <v>237</v>
      </c>
      <c r="D129" s="307" t="s">
        <v>2</v>
      </c>
      <c r="E129" s="310">
        <v>1.49</v>
      </c>
      <c r="F129" s="311">
        <f t="shared" ref="F129:T129" si="34">F125/F126</f>
        <v>1.6499999994428611</v>
      </c>
      <c r="G129" s="312">
        <f t="shared" si="34"/>
        <v>1.6723071119474751</v>
      </c>
      <c r="H129" s="313">
        <f>H125/H126</f>
        <v>1.734465375130575</v>
      </c>
      <c r="I129" s="312">
        <f t="shared" si="34"/>
        <v>3.8356240429613662</v>
      </c>
      <c r="J129" s="312">
        <f t="shared" si="34"/>
        <v>3.2397598473922695</v>
      </c>
      <c r="K129" s="312">
        <f t="shared" si="34"/>
        <v>3.5517784373299524</v>
      </c>
      <c r="L129" s="312">
        <f t="shared" si="34"/>
        <v>3.7829906686458883</v>
      </c>
      <c r="M129" s="312">
        <f t="shared" si="34"/>
        <v>4.1154448455094617</v>
      </c>
      <c r="N129" s="312">
        <f t="shared" si="34"/>
        <v>4.457562332893108</v>
      </c>
      <c r="O129" s="321">
        <f t="shared" si="34"/>
        <v>0</v>
      </c>
      <c r="P129" s="313">
        <f t="shared" si="34"/>
        <v>1.9815845786517952</v>
      </c>
      <c r="Q129" s="312">
        <f t="shared" si="34"/>
        <v>2.1464243589388792</v>
      </c>
      <c r="R129" s="312">
        <f t="shared" si="34"/>
        <v>2.2345720133292462</v>
      </c>
      <c r="S129" s="312">
        <f t="shared" si="34"/>
        <v>2.4028330629401649</v>
      </c>
      <c r="T129" s="312">
        <f t="shared" si="34"/>
        <v>2.4769678546743581</v>
      </c>
      <c r="U129" s="322"/>
      <c r="V129" s="323"/>
      <c r="W129" s="323"/>
    </row>
    <row r="130" spans="1:23" s="248" customFormat="1" ht="20.25" x14ac:dyDescent="0.2">
      <c r="A130" s="246"/>
      <c r="B130" s="247"/>
      <c r="C130" s="247"/>
      <c r="D130" s="186" t="s">
        <v>2</v>
      </c>
      <c r="E130" s="239"/>
      <c r="F130" s="240"/>
      <c r="G130" s="226"/>
      <c r="H130" s="226"/>
      <c r="I130" s="251"/>
      <c r="J130" s="166"/>
      <c r="K130" s="249"/>
      <c r="L130" s="249"/>
      <c r="M130" s="249"/>
      <c r="N130" s="249"/>
      <c r="O130" s="299"/>
      <c r="P130" s="326">
        <f>P129-1.734</f>
        <v>0.24758457865179517</v>
      </c>
      <c r="Q130" s="325">
        <f>Q129-P129</f>
        <v>0.16483978028708401</v>
      </c>
      <c r="R130" s="325">
        <f>R129-Q129</f>
        <v>8.8147654390366981E-2</v>
      </c>
      <c r="S130" s="325">
        <f>S129-R129</f>
        <v>0.1682610496109187</v>
      </c>
      <c r="T130" s="325">
        <f>T129-S129</f>
        <v>7.4134791734193239E-2</v>
      </c>
      <c r="U130" s="249"/>
      <c r="V130" s="253"/>
      <c r="W130" s="253"/>
    </row>
    <row r="131" spans="1:23" s="248" customFormat="1" hidden="1" x14ac:dyDescent="0.2">
      <c r="A131" s="252"/>
      <c r="B131" s="184" t="s">
        <v>238</v>
      </c>
      <c r="C131" s="166"/>
      <c r="D131" s="186" t="s">
        <v>2</v>
      </c>
      <c r="E131" s="186"/>
      <c r="F131" s="250"/>
      <c r="G131" s="226"/>
      <c r="H131" s="226"/>
      <c r="I131" s="251"/>
      <c r="J131" s="166"/>
      <c r="K131" s="249"/>
      <c r="L131" s="249"/>
      <c r="M131" s="249"/>
      <c r="N131" s="249"/>
      <c r="O131" s="299"/>
      <c r="P131" s="166"/>
      <c r="Q131" s="249"/>
      <c r="R131" s="249"/>
      <c r="S131" s="249"/>
      <c r="T131" s="249"/>
      <c r="U131" s="253"/>
      <c r="V131" s="253"/>
      <c r="W131" s="253"/>
    </row>
    <row r="132" spans="1:23" s="248" customFormat="1" ht="49.5" hidden="1" x14ac:dyDescent="0.2">
      <c r="A132" s="246" t="s">
        <v>239</v>
      </c>
      <c r="B132" s="254" t="s">
        <v>240</v>
      </c>
      <c r="C132" s="238" t="s">
        <v>241</v>
      </c>
      <c r="D132" s="186" t="s">
        <v>2</v>
      </c>
      <c r="E132" s="186"/>
      <c r="F132" s="250">
        <v>910</v>
      </c>
      <c r="G132" s="250">
        <v>910</v>
      </c>
      <c r="H132" s="250"/>
      <c r="I132" s="251"/>
      <c r="J132" s="251">
        <v>1283</v>
      </c>
      <c r="K132" s="251">
        <v>1285</v>
      </c>
      <c r="L132" s="251">
        <v>1296</v>
      </c>
      <c r="M132" s="251">
        <v>1301</v>
      </c>
      <c r="N132" s="251">
        <v>1303</v>
      </c>
      <c r="O132" s="299"/>
      <c r="P132" s="251">
        <v>1283</v>
      </c>
      <c r="Q132" s="251">
        <v>1285</v>
      </c>
      <c r="R132" s="251">
        <v>1296</v>
      </c>
      <c r="S132" s="251">
        <v>1301</v>
      </c>
      <c r="T132" s="251">
        <v>1303</v>
      </c>
      <c r="U132" s="255"/>
      <c r="V132" s="253"/>
      <c r="W132" s="253"/>
    </row>
    <row r="133" spans="1:23" ht="33" hidden="1" x14ac:dyDescent="0.2">
      <c r="A133" s="183" t="s">
        <v>242</v>
      </c>
      <c r="B133" s="184" t="s">
        <v>243</v>
      </c>
      <c r="C133" s="185" t="s">
        <v>241</v>
      </c>
      <c r="D133" s="186" t="s">
        <v>2</v>
      </c>
      <c r="E133" s="186"/>
      <c r="F133" s="187">
        <f>F132-F134</f>
        <v>857</v>
      </c>
      <c r="G133" s="187">
        <f>G132-G134</f>
        <v>857</v>
      </c>
      <c r="H133" s="187"/>
      <c r="I133" s="166"/>
      <c r="J133" s="166">
        <v>1191</v>
      </c>
      <c r="K133" s="166">
        <v>1193</v>
      </c>
      <c r="L133" s="166">
        <v>1204</v>
      </c>
      <c r="M133" s="166">
        <v>1209</v>
      </c>
      <c r="N133" s="166">
        <v>1211</v>
      </c>
      <c r="O133" s="167"/>
      <c r="P133" s="166">
        <v>1191</v>
      </c>
      <c r="Q133" s="166">
        <v>1193</v>
      </c>
      <c r="R133" s="166">
        <v>1204</v>
      </c>
      <c r="S133" s="166">
        <v>1209</v>
      </c>
      <c r="T133" s="166">
        <v>1211</v>
      </c>
    </row>
    <row r="134" spans="1:23" ht="33" hidden="1" x14ac:dyDescent="0.2">
      <c r="A134" s="183" t="s">
        <v>244</v>
      </c>
      <c r="B134" s="184" t="s">
        <v>245</v>
      </c>
      <c r="C134" s="185" t="s">
        <v>241</v>
      </c>
      <c r="D134" s="186" t="s">
        <v>2</v>
      </c>
      <c r="E134" s="186"/>
      <c r="F134" s="187">
        <v>53</v>
      </c>
      <c r="G134" s="187">
        <v>53</v>
      </c>
      <c r="H134" s="187"/>
      <c r="I134" s="166"/>
      <c r="J134" s="166">
        <v>92</v>
      </c>
      <c r="K134" s="166">
        <v>92</v>
      </c>
      <c r="L134" s="166">
        <v>92</v>
      </c>
      <c r="M134" s="166">
        <v>92</v>
      </c>
      <c r="N134" s="166">
        <v>92</v>
      </c>
      <c r="O134" s="167"/>
      <c r="P134" s="166">
        <v>92</v>
      </c>
      <c r="Q134" s="166">
        <v>92</v>
      </c>
      <c r="R134" s="166">
        <v>92</v>
      </c>
      <c r="S134" s="166">
        <v>92</v>
      </c>
      <c r="T134" s="166">
        <v>92</v>
      </c>
    </row>
    <row r="135" spans="1:23" s="162" customFormat="1" ht="49.5" hidden="1" x14ac:dyDescent="0.2">
      <c r="A135" s="221" t="s">
        <v>246</v>
      </c>
      <c r="B135" s="222" t="s">
        <v>252</v>
      </c>
      <c r="C135" s="251" t="s">
        <v>253</v>
      </c>
      <c r="D135" s="186" t="s">
        <v>2</v>
      </c>
      <c r="E135" s="186"/>
      <c r="F135" s="226">
        <f>(F17+F86)*1000/12/F132</f>
        <v>77755.564010989023</v>
      </c>
      <c r="G135" s="226">
        <f>(G17+G86)*1000/12/G132</f>
        <v>79935.430311355318</v>
      </c>
      <c r="H135" s="226"/>
      <c r="I135" s="251"/>
      <c r="J135" s="251">
        <f>(J17+J86)*1000/12/J132</f>
        <v>130229.93023164458</v>
      </c>
      <c r="K135" s="251">
        <f>(K17+K86)*1000/12/K132</f>
        <v>141950.62370000003</v>
      </c>
      <c r="L135" s="251">
        <f>(L17+L86)*1000/12/L132</f>
        <v>154726.17983300003</v>
      </c>
      <c r="M135" s="251">
        <f>(M17+M86)*1000/12/M132</f>
        <v>168651.53601797004</v>
      </c>
      <c r="N135" s="251">
        <f>(N17+N86)*1000/12/N132</f>
        <v>183830.17425958734</v>
      </c>
      <c r="O135" s="299"/>
      <c r="P135" s="251">
        <f>(P17+P86)*1000/12/P132</f>
        <v>65372.267001973509</v>
      </c>
      <c r="Q135" s="251">
        <f>(Q17+Q86)*1000/12/Q132</f>
        <v>69186.751499878548</v>
      </c>
      <c r="R135" s="251">
        <f>(R17+R86)*1000/12/R132</f>
        <v>72715.489365728834</v>
      </c>
      <c r="S135" s="251">
        <f>(S17+S86)*1000/12/S132</f>
        <v>76782.191138404029</v>
      </c>
      <c r="T135" s="251">
        <f>(T17+T86)*1000/12/T132</f>
        <v>81264.196862108569</v>
      </c>
      <c r="U135" s="255"/>
      <c r="V135" s="255"/>
      <c r="W135" s="255"/>
    </row>
    <row r="136" spans="1:23" ht="33" hidden="1" x14ac:dyDescent="0.2">
      <c r="A136" s="183" t="s">
        <v>254</v>
      </c>
      <c r="B136" s="184" t="s">
        <v>243</v>
      </c>
      <c r="C136" s="166" t="s">
        <v>253</v>
      </c>
      <c r="D136" s="186" t="s">
        <v>2</v>
      </c>
      <c r="E136" s="186"/>
      <c r="F136" s="187">
        <f>F17/12*1000/F133</f>
        <v>74206.157720731237</v>
      </c>
      <c r="G136" s="187">
        <f>G17/12*1000/G133</f>
        <v>76354.084791909772</v>
      </c>
      <c r="H136" s="187"/>
      <c r="I136" s="166"/>
      <c r="J136" s="166">
        <f>J17/12*1000/J133</f>
        <v>123454.91197917717</v>
      </c>
      <c r="K136" s="166">
        <f>K17/12*1000/K133</f>
        <v>134549.67751882653</v>
      </c>
      <c r="L136" s="166">
        <f>L17/12*1000/L133</f>
        <v>146563.217255764</v>
      </c>
      <c r="M136" s="166">
        <f>M17/12*1000/M133</f>
        <v>159707.00625000292</v>
      </c>
      <c r="N136" s="166">
        <f>N17/12*1000/N133</f>
        <v>174060.30636912736</v>
      </c>
      <c r="O136" s="167"/>
      <c r="P136" s="166">
        <f>P17/12*1000/P133</f>
        <v>63664.483627204041</v>
      </c>
      <c r="Q136" s="166">
        <f>Q17/12*1000/Q133</f>
        <v>67371.218776194481</v>
      </c>
      <c r="R136" s="166">
        <f>R17/12*1000/R133</f>
        <v>70761.043056478418</v>
      </c>
      <c r="S136" s="166">
        <f>S17/12*1000/S133</f>
        <v>74696.504210421859</v>
      </c>
      <c r="T136" s="166">
        <f>T17/12*1000/T133</f>
        <v>79047.529319425288</v>
      </c>
    </row>
    <row r="137" spans="1:23" ht="33" hidden="1" x14ac:dyDescent="0.2">
      <c r="A137" s="183" t="s">
        <v>255</v>
      </c>
      <c r="B137" s="184" t="s">
        <v>245</v>
      </c>
      <c r="C137" s="166" t="s">
        <v>253</v>
      </c>
      <c r="D137" s="186" t="s">
        <v>2</v>
      </c>
      <c r="E137" s="186"/>
      <c r="F137" s="187">
        <f>F86*1000/12/F134</f>
        <v>135148.79402515723</v>
      </c>
      <c r="G137" s="187">
        <f>G86*1000/12/G134</f>
        <v>137845.11163522012</v>
      </c>
      <c r="H137" s="187"/>
      <c r="I137" s="166"/>
      <c r="J137" s="166">
        <f>J86*1000/12/J134</f>
        <v>217936.96</v>
      </c>
      <c r="K137" s="166">
        <f>K86*1000/12/K134</f>
        <v>237921.58885369566</v>
      </c>
      <c r="L137" s="166">
        <f>L86*1000/12/L134</f>
        <v>261554.51616987132</v>
      </c>
      <c r="M137" s="166">
        <f>M86*1000/12/M134</f>
        <v>286194.32394701609</v>
      </c>
      <c r="N137" s="166">
        <f>N86*1000/12/N134</f>
        <v>312431.37007857696</v>
      </c>
      <c r="O137" s="167"/>
      <c r="P137" s="166">
        <f>P86*1000/12/P134</f>
        <v>87480.636560130442</v>
      </c>
      <c r="Q137" s="166">
        <f>Q86*1000/12/Q134</f>
        <v>92729.474753738279</v>
      </c>
      <c r="R137" s="166">
        <f>R86*1000/12/R134</f>
        <v>98293.243238962576</v>
      </c>
      <c r="S137" s="166">
        <f>S86*1000/12/S134</f>
        <v>104190.83783330033</v>
      </c>
      <c r="T137" s="166">
        <f>T86*1000/12/T134</f>
        <v>110442.28810329837</v>
      </c>
    </row>
    <row r="138" spans="1:23" s="162" customFormat="1" ht="66" hidden="1" x14ac:dyDescent="0.2">
      <c r="A138" s="221" t="s">
        <v>256</v>
      </c>
      <c r="B138" s="222" t="s">
        <v>257</v>
      </c>
      <c r="C138" s="251" t="s">
        <v>1</v>
      </c>
      <c r="D138" s="186" t="s">
        <v>2</v>
      </c>
      <c r="E138" s="186"/>
      <c r="F138" s="226">
        <v>34943.280590000002</v>
      </c>
      <c r="G138" s="226">
        <v>44066.300569999992</v>
      </c>
      <c r="H138" s="226"/>
      <c r="I138" s="251"/>
      <c r="J138" s="166"/>
      <c r="K138" s="251"/>
      <c r="L138" s="251"/>
      <c r="M138" s="251"/>
      <c r="N138" s="251"/>
      <c r="O138" s="299"/>
      <c r="P138" s="166"/>
      <c r="Q138" s="251"/>
      <c r="R138" s="251"/>
      <c r="S138" s="251"/>
      <c r="T138" s="251"/>
      <c r="U138" s="255"/>
      <c r="V138" s="255"/>
      <c r="W138" s="255"/>
    </row>
    <row r="139" spans="1:23" s="162" customFormat="1" ht="66" hidden="1" x14ac:dyDescent="0.2">
      <c r="A139" s="221" t="s">
        <v>258</v>
      </c>
      <c r="B139" s="222" t="s">
        <v>259</v>
      </c>
      <c r="C139" s="251" t="s">
        <v>1</v>
      </c>
      <c r="D139" s="186" t="s">
        <v>2</v>
      </c>
      <c r="E139" s="186"/>
      <c r="F139" s="226">
        <v>208515.19787999996</v>
      </c>
      <c r="G139" s="226">
        <v>202620.14074000006</v>
      </c>
      <c r="H139" s="226"/>
      <c r="I139" s="251"/>
      <c r="J139" s="166"/>
      <c r="K139" s="251"/>
      <c r="L139" s="251"/>
      <c r="M139" s="251"/>
      <c r="N139" s="251"/>
      <c r="O139" s="299"/>
      <c r="P139" s="166"/>
      <c r="Q139" s="251"/>
      <c r="R139" s="251"/>
      <c r="S139" s="251"/>
      <c r="T139" s="251"/>
      <c r="U139" s="255"/>
      <c r="V139" s="255"/>
      <c r="W139" s="255"/>
    </row>
    <row r="140" spans="1:23" s="162" customFormat="1" ht="99" hidden="1" x14ac:dyDescent="0.2">
      <c r="A140" s="221" t="s">
        <v>260</v>
      </c>
      <c r="B140" s="222" t="s">
        <v>261</v>
      </c>
      <c r="C140" s="251" t="s">
        <v>1</v>
      </c>
      <c r="D140" s="186" t="s">
        <v>2</v>
      </c>
      <c r="E140" s="186"/>
      <c r="F140" s="226">
        <f>F25</f>
        <v>97961.56</v>
      </c>
      <c r="G140" s="226">
        <f t="shared" ref="G140:T140" si="35">G25</f>
        <v>93616.365999999995</v>
      </c>
      <c r="H140" s="226"/>
      <c r="I140" s="251">
        <f t="shared" si="35"/>
        <v>1667189.0600838566</v>
      </c>
      <c r="J140" s="251">
        <f t="shared" si="35"/>
        <v>272764.4323708351</v>
      </c>
      <c r="K140" s="251">
        <f t="shared" si="35"/>
        <v>335013.72199742129</v>
      </c>
      <c r="L140" s="251">
        <f t="shared" si="35"/>
        <v>318175.86927500006</v>
      </c>
      <c r="M140" s="251">
        <f t="shared" si="35"/>
        <v>357754.38045310002</v>
      </c>
      <c r="N140" s="251">
        <f t="shared" si="35"/>
        <v>383480.65598750004</v>
      </c>
      <c r="O140" s="299">
        <f t="shared" si="35"/>
        <v>817395.6399999999</v>
      </c>
      <c r="P140" s="251">
        <f t="shared" si="35"/>
        <v>103926.48</v>
      </c>
      <c r="Q140" s="251">
        <f t="shared" si="35"/>
        <v>163401.60999999999</v>
      </c>
      <c r="R140" s="251">
        <f t="shared" si="35"/>
        <v>172872.08</v>
      </c>
      <c r="S140" s="251">
        <f t="shared" si="35"/>
        <v>183177.68</v>
      </c>
      <c r="T140" s="251">
        <f t="shared" si="35"/>
        <v>194017.79</v>
      </c>
      <c r="U140" s="255"/>
      <c r="V140" s="255"/>
      <c r="W140" s="255"/>
    </row>
    <row r="141" spans="1:23" ht="33" hidden="1" x14ac:dyDescent="0.2">
      <c r="A141" s="183" t="s">
        <v>262</v>
      </c>
      <c r="B141" s="184" t="s">
        <v>263</v>
      </c>
      <c r="C141" s="166" t="s">
        <v>1</v>
      </c>
      <c r="D141" s="186" t="s">
        <v>2</v>
      </c>
      <c r="E141" s="186"/>
      <c r="F141" s="187">
        <f>F140-F144</f>
        <v>88579.4</v>
      </c>
      <c r="G141" s="187">
        <f t="shared" ref="G141:T141" si="36">G140-G144</f>
        <v>84260.525999999998</v>
      </c>
      <c r="H141" s="187"/>
      <c r="I141" s="166">
        <f t="shared" si="36"/>
        <v>1622213.8142438566</v>
      </c>
      <c r="J141" s="166">
        <f t="shared" si="36"/>
        <v>266448.86437083507</v>
      </c>
      <c r="K141" s="166">
        <f t="shared" si="36"/>
        <v>326874.39891742129</v>
      </c>
      <c r="L141" s="166">
        <f t="shared" si="36"/>
        <v>309206.41927500005</v>
      </c>
      <c r="M141" s="166">
        <f t="shared" si="36"/>
        <v>348328.0881931</v>
      </c>
      <c r="N141" s="166">
        <f t="shared" si="36"/>
        <v>371356.04348750005</v>
      </c>
      <c r="O141" s="167">
        <f t="shared" si="36"/>
        <v>772420.39415999991</v>
      </c>
      <c r="P141" s="166">
        <f t="shared" si="36"/>
        <v>97610.911999999997</v>
      </c>
      <c r="Q141" s="166">
        <f t="shared" si="36"/>
        <v>155262.28691999998</v>
      </c>
      <c r="R141" s="166">
        <f t="shared" si="36"/>
        <v>163902.62999999998</v>
      </c>
      <c r="S141" s="166">
        <f t="shared" si="36"/>
        <v>173751.38774000001</v>
      </c>
      <c r="T141" s="166">
        <f t="shared" si="36"/>
        <v>181893.17750000002</v>
      </c>
    </row>
    <row r="142" spans="1:23" ht="33" hidden="1" x14ac:dyDescent="0.2">
      <c r="A142" s="183" t="s">
        <v>264</v>
      </c>
      <c r="B142" s="184" t="s">
        <v>265</v>
      </c>
      <c r="C142" s="166" t="s">
        <v>1</v>
      </c>
      <c r="D142" s="186" t="s">
        <v>2</v>
      </c>
      <c r="E142" s="186"/>
      <c r="F142" s="187"/>
      <c r="G142" s="187"/>
      <c r="H142" s="187"/>
      <c r="I142" s="166"/>
      <c r="J142" s="166"/>
      <c r="K142" s="166"/>
      <c r="L142" s="166"/>
      <c r="M142" s="166"/>
      <c r="N142" s="166"/>
      <c r="O142" s="167"/>
      <c r="P142" s="166"/>
      <c r="Q142" s="166"/>
      <c r="R142" s="166"/>
      <c r="S142" s="166"/>
      <c r="T142" s="166"/>
    </row>
    <row r="143" spans="1:23" ht="33" hidden="1" x14ac:dyDescent="0.2">
      <c r="A143" s="183" t="s">
        <v>266</v>
      </c>
      <c r="B143" s="184" t="s">
        <v>267</v>
      </c>
      <c r="C143" s="166" t="s">
        <v>1</v>
      </c>
      <c r="D143" s="186" t="s">
        <v>2</v>
      </c>
      <c r="E143" s="186"/>
      <c r="F143" s="187"/>
      <c r="G143" s="187"/>
      <c r="H143" s="187"/>
      <c r="I143" s="166"/>
      <c r="J143" s="166"/>
      <c r="K143" s="166"/>
      <c r="L143" s="166"/>
      <c r="M143" s="166"/>
      <c r="N143" s="166"/>
      <c r="O143" s="167"/>
      <c r="P143" s="166"/>
      <c r="Q143" s="166"/>
      <c r="R143" s="166"/>
      <c r="S143" s="166"/>
      <c r="T143" s="166"/>
    </row>
    <row r="144" spans="1:23" ht="33" hidden="1" x14ac:dyDescent="0.2">
      <c r="A144" s="183" t="s">
        <v>268</v>
      </c>
      <c r="B144" s="184" t="s">
        <v>269</v>
      </c>
      <c r="C144" s="166" t="s">
        <v>1</v>
      </c>
      <c r="D144" s="186" t="s">
        <v>2</v>
      </c>
      <c r="E144" s="186"/>
      <c r="F144" s="187">
        <v>9382.16</v>
      </c>
      <c r="G144" s="187">
        <v>9355.84</v>
      </c>
      <c r="H144" s="187"/>
      <c r="I144" s="166">
        <f>J144+K144+L144+M144+N144</f>
        <v>44975.245840000003</v>
      </c>
      <c r="J144" s="166">
        <v>6315.5680000000011</v>
      </c>
      <c r="K144" s="166">
        <v>8139.3230799999992</v>
      </c>
      <c r="L144" s="166">
        <v>8969.4499999999989</v>
      </c>
      <c r="M144" s="166">
        <v>9426.2922600000002</v>
      </c>
      <c r="N144" s="166">
        <v>12124.612500000001</v>
      </c>
      <c r="O144" s="167">
        <f>P144+Q144+R144+S144+T144</f>
        <v>44975.245840000003</v>
      </c>
      <c r="P144" s="166">
        <v>6315.5680000000011</v>
      </c>
      <c r="Q144" s="166">
        <v>8139.3230799999992</v>
      </c>
      <c r="R144" s="166">
        <v>8969.4499999999989</v>
      </c>
      <c r="S144" s="166">
        <v>9426.2922600000002</v>
      </c>
      <c r="T144" s="166">
        <v>12124.612500000001</v>
      </c>
    </row>
    <row r="145" spans="1:21" hidden="1" x14ac:dyDescent="0.2"/>
    <row r="146" spans="1:21" hidden="1" x14ac:dyDescent="0.2"/>
    <row r="147" spans="1:21" ht="40.15" hidden="1" customHeight="1" x14ac:dyDescent="0.3">
      <c r="A147" s="385" t="s">
        <v>270</v>
      </c>
      <c r="B147" s="385"/>
      <c r="C147" s="385"/>
      <c r="D147" s="385"/>
      <c r="E147" s="385"/>
      <c r="F147" s="385"/>
      <c r="G147" s="385"/>
      <c r="H147" s="385"/>
      <c r="I147" s="385"/>
      <c r="J147" s="385"/>
      <c r="K147" s="385"/>
      <c r="L147" s="385"/>
      <c r="M147" s="385"/>
      <c r="N147" s="385"/>
    </row>
    <row r="148" spans="1:21" ht="181.5" hidden="1" x14ac:dyDescent="0.2">
      <c r="A148" s="257">
        <v>9</v>
      </c>
      <c r="B148" s="258" t="s">
        <v>247</v>
      </c>
      <c r="C148" s="259" t="s">
        <v>1</v>
      </c>
      <c r="D148" s="260">
        <v>1053292.07</v>
      </c>
      <c r="E148" s="260"/>
      <c r="F148" s="261">
        <f>F122-F149-F150</f>
        <v>1266337.03094</v>
      </c>
      <c r="G148" s="261">
        <f>G122-G149-G150</f>
        <v>1289256.4809999997</v>
      </c>
      <c r="H148" s="261"/>
      <c r="I148" s="186" t="s">
        <v>2</v>
      </c>
      <c r="J148" s="186" t="s">
        <v>2</v>
      </c>
      <c r="K148" s="186" t="s">
        <v>2</v>
      </c>
      <c r="L148" s="186" t="s">
        <v>2</v>
      </c>
      <c r="M148" s="186" t="s">
        <v>2</v>
      </c>
      <c r="N148" s="186" t="s">
        <v>2</v>
      </c>
      <c r="O148" s="262" t="s">
        <v>2</v>
      </c>
      <c r="P148" s="186" t="s">
        <v>2</v>
      </c>
      <c r="Q148" s="186" t="s">
        <v>2</v>
      </c>
      <c r="R148" s="186" t="s">
        <v>2</v>
      </c>
      <c r="S148" s="186" t="s">
        <v>2</v>
      </c>
      <c r="T148" s="186" t="s">
        <v>2</v>
      </c>
      <c r="U148" s="263"/>
    </row>
    <row r="149" spans="1:21" ht="99" hidden="1" x14ac:dyDescent="0.2">
      <c r="A149" s="257">
        <v>10</v>
      </c>
      <c r="B149" s="258" t="s">
        <v>248</v>
      </c>
      <c r="C149" s="259" t="s">
        <v>1</v>
      </c>
      <c r="D149" s="260">
        <v>323800</v>
      </c>
      <c r="E149" s="260"/>
      <c r="F149" s="261">
        <f>F100+F22</f>
        <v>334820.21800000005</v>
      </c>
      <c r="G149" s="261">
        <f>G100+G22</f>
        <v>339925.19099999999</v>
      </c>
      <c r="H149" s="261"/>
      <c r="I149" s="186" t="s">
        <v>2</v>
      </c>
      <c r="J149" s="186" t="s">
        <v>2</v>
      </c>
      <c r="K149" s="186" t="s">
        <v>2</v>
      </c>
      <c r="L149" s="186" t="s">
        <v>2</v>
      </c>
      <c r="M149" s="186" t="s">
        <v>2</v>
      </c>
      <c r="N149" s="186" t="s">
        <v>2</v>
      </c>
      <c r="O149" s="262" t="s">
        <v>2</v>
      </c>
      <c r="P149" s="186" t="s">
        <v>2</v>
      </c>
      <c r="Q149" s="186" t="s">
        <v>2</v>
      </c>
      <c r="R149" s="186" t="s">
        <v>2</v>
      </c>
      <c r="S149" s="186" t="s">
        <v>2</v>
      </c>
      <c r="T149" s="186" t="s">
        <v>2</v>
      </c>
      <c r="U149" s="263"/>
    </row>
    <row r="150" spans="1:21" ht="82.5" hidden="1" x14ac:dyDescent="0.2">
      <c r="A150" s="257">
        <v>11</v>
      </c>
      <c r="B150" s="258" t="s">
        <v>118</v>
      </c>
      <c r="C150" s="259" t="s">
        <v>1</v>
      </c>
      <c r="D150" s="261">
        <f>D151+D152+D153+D154</f>
        <v>696578.8</v>
      </c>
      <c r="E150" s="261"/>
      <c r="F150" s="261">
        <f>F151+F152+F153+F154</f>
        <v>481468.23799999995</v>
      </c>
      <c r="G150" s="259">
        <f>G151+G152+G153+G154</f>
        <v>511494.77499999997</v>
      </c>
      <c r="H150" s="259"/>
      <c r="I150" s="186" t="s">
        <v>2</v>
      </c>
      <c r="J150" s="186" t="s">
        <v>2</v>
      </c>
      <c r="K150" s="186" t="s">
        <v>2</v>
      </c>
      <c r="L150" s="186" t="s">
        <v>2</v>
      </c>
      <c r="M150" s="186" t="s">
        <v>2</v>
      </c>
      <c r="N150" s="186" t="s">
        <v>2</v>
      </c>
      <c r="O150" s="262" t="s">
        <v>2</v>
      </c>
      <c r="P150" s="186" t="s">
        <v>2</v>
      </c>
      <c r="Q150" s="186" t="s">
        <v>2</v>
      </c>
      <c r="R150" s="186" t="s">
        <v>2</v>
      </c>
      <c r="S150" s="186" t="s">
        <v>2</v>
      </c>
      <c r="T150" s="186" t="s">
        <v>2</v>
      </c>
      <c r="U150" s="263"/>
    </row>
    <row r="151" spans="1:21" ht="33" hidden="1" x14ac:dyDescent="0.2">
      <c r="A151" s="257" t="s">
        <v>119</v>
      </c>
      <c r="B151" s="258" t="s">
        <v>120</v>
      </c>
      <c r="C151" s="259" t="s">
        <v>1</v>
      </c>
      <c r="D151" s="260">
        <v>12543</v>
      </c>
      <c r="E151" s="260"/>
      <c r="F151" s="261">
        <f>F90</f>
        <v>10792.289000000001</v>
      </c>
      <c r="G151" s="261">
        <f>G90</f>
        <v>10987.606</v>
      </c>
      <c r="H151" s="261"/>
      <c r="I151" s="186" t="s">
        <v>2</v>
      </c>
      <c r="J151" s="186" t="s">
        <v>2</v>
      </c>
      <c r="K151" s="186" t="s">
        <v>2</v>
      </c>
      <c r="L151" s="186" t="s">
        <v>2</v>
      </c>
      <c r="M151" s="186" t="s">
        <v>2</v>
      </c>
      <c r="N151" s="186" t="s">
        <v>2</v>
      </c>
      <c r="O151" s="262" t="s">
        <v>2</v>
      </c>
      <c r="P151" s="186" t="s">
        <v>2</v>
      </c>
      <c r="Q151" s="186" t="s">
        <v>2</v>
      </c>
      <c r="R151" s="186" t="s">
        <v>2</v>
      </c>
      <c r="S151" s="186" t="s">
        <v>2</v>
      </c>
      <c r="T151" s="186" t="s">
        <v>2</v>
      </c>
      <c r="U151" s="263"/>
    </row>
    <row r="152" spans="1:21" ht="82.5" hidden="1" x14ac:dyDescent="0.2">
      <c r="A152" s="257" t="s">
        <v>121</v>
      </c>
      <c r="B152" s="258" t="s">
        <v>122</v>
      </c>
      <c r="C152" s="259" t="s">
        <v>1</v>
      </c>
      <c r="D152" s="260">
        <v>573255.80000000005</v>
      </c>
      <c r="E152" s="260"/>
      <c r="F152" s="186">
        <f>F15-F153</f>
        <v>325122.53499999997</v>
      </c>
      <c r="G152" s="186">
        <f>G15-G153</f>
        <v>362988.13099999999</v>
      </c>
      <c r="H152" s="186"/>
      <c r="I152" s="186" t="s">
        <v>2</v>
      </c>
      <c r="J152" s="186" t="s">
        <v>2</v>
      </c>
      <c r="K152" s="186" t="s">
        <v>2</v>
      </c>
      <c r="L152" s="186" t="s">
        <v>2</v>
      </c>
      <c r="M152" s="186" t="s">
        <v>2</v>
      </c>
      <c r="N152" s="186" t="s">
        <v>2</v>
      </c>
      <c r="O152" s="262" t="s">
        <v>2</v>
      </c>
      <c r="P152" s="186" t="s">
        <v>2</v>
      </c>
      <c r="Q152" s="186" t="s">
        <v>2</v>
      </c>
      <c r="R152" s="186" t="s">
        <v>2</v>
      </c>
      <c r="S152" s="186" t="s">
        <v>2</v>
      </c>
      <c r="T152" s="186" t="s">
        <v>2</v>
      </c>
      <c r="U152" s="263"/>
    </row>
    <row r="153" spans="1:21" ht="33" hidden="1" x14ac:dyDescent="0.2">
      <c r="A153" s="257" t="s">
        <v>123</v>
      </c>
      <c r="B153" s="258" t="s">
        <v>124</v>
      </c>
      <c r="C153" s="259" t="s">
        <v>1</v>
      </c>
      <c r="D153" s="260">
        <v>6443</v>
      </c>
      <c r="E153" s="260"/>
      <c r="F153" s="186">
        <v>3374.864</v>
      </c>
      <c r="G153" s="186">
        <v>3962.0439999999999</v>
      </c>
      <c r="H153" s="186"/>
      <c r="I153" s="186" t="s">
        <v>2</v>
      </c>
      <c r="J153" s="186" t="s">
        <v>2</v>
      </c>
      <c r="K153" s="186" t="s">
        <v>2</v>
      </c>
      <c r="L153" s="186" t="s">
        <v>2</v>
      </c>
      <c r="M153" s="186" t="s">
        <v>2</v>
      </c>
      <c r="N153" s="186" t="s">
        <v>2</v>
      </c>
      <c r="O153" s="262" t="s">
        <v>2</v>
      </c>
      <c r="P153" s="186" t="s">
        <v>2</v>
      </c>
      <c r="Q153" s="186" t="s">
        <v>2</v>
      </c>
      <c r="R153" s="186" t="s">
        <v>2</v>
      </c>
      <c r="S153" s="186" t="s">
        <v>2</v>
      </c>
      <c r="T153" s="186" t="s">
        <v>2</v>
      </c>
      <c r="U153" s="263"/>
    </row>
    <row r="154" spans="1:21" ht="165" hidden="1" x14ac:dyDescent="0.2">
      <c r="A154" s="257" t="s">
        <v>125</v>
      </c>
      <c r="B154" s="258" t="s">
        <v>126</v>
      </c>
      <c r="C154" s="259" t="s">
        <v>1</v>
      </c>
      <c r="D154" s="260">
        <v>104337</v>
      </c>
      <c r="E154" s="260"/>
      <c r="F154" s="261">
        <f>F121</f>
        <v>142178.54999999999</v>
      </c>
      <c r="G154" s="261">
        <f>G121</f>
        <v>133556.99400000001</v>
      </c>
      <c r="H154" s="261"/>
      <c r="I154" s="186" t="s">
        <v>2</v>
      </c>
      <c r="J154" s="186" t="s">
        <v>2</v>
      </c>
      <c r="K154" s="186" t="s">
        <v>2</v>
      </c>
      <c r="L154" s="186" t="s">
        <v>2</v>
      </c>
      <c r="M154" s="186" t="s">
        <v>2</v>
      </c>
      <c r="N154" s="186" t="s">
        <v>2</v>
      </c>
      <c r="O154" s="262" t="s">
        <v>2</v>
      </c>
      <c r="P154" s="186" t="s">
        <v>2</v>
      </c>
      <c r="Q154" s="186" t="s">
        <v>2</v>
      </c>
      <c r="R154" s="186" t="s">
        <v>2</v>
      </c>
      <c r="S154" s="186" t="s">
        <v>2</v>
      </c>
      <c r="T154" s="186" t="s">
        <v>2</v>
      </c>
      <c r="U154" s="263"/>
    </row>
    <row r="155" spans="1:21" ht="33" hidden="1" x14ac:dyDescent="0.2">
      <c r="A155" s="257">
        <v>12</v>
      </c>
      <c r="B155" s="258" t="s">
        <v>127</v>
      </c>
      <c r="C155" s="259" t="s">
        <v>1</v>
      </c>
      <c r="D155" s="260">
        <v>244332</v>
      </c>
      <c r="E155" s="260"/>
      <c r="F155" s="260">
        <f>F123</f>
        <v>138543.61906000017</v>
      </c>
      <c r="G155" s="260">
        <f>G123</f>
        <v>90150.899670000188</v>
      </c>
      <c r="H155" s="260"/>
      <c r="I155" s="186" t="s">
        <v>2</v>
      </c>
      <c r="J155" s="186" t="s">
        <v>2</v>
      </c>
      <c r="K155" s="186" t="s">
        <v>2</v>
      </c>
      <c r="L155" s="186" t="s">
        <v>2</v>
      </c>
      <c r="M155" s="186" t="s">
        <v>2</v>
      </c>
      <c r="N155" s="186" t="s">
        <v>2</v>
      </c>
      <c r="O155" s="262" t="s">
        <v>2</v>
      </c>
      <c r="P155" s="186" t="s">
        <v>2</v>
      </c>
      <c r="Q155" s="186" t="s">
        <v>2</v>
      </c>
      <c r="R155" s="186" t="s">
        <v>2</v>
      </c>
      <c r="S155" s="186" t="s">
        <v>2</v>
      </c>
      <c r="T155" s="186" t="s">
        <v>2</v>
      </c>
      <c r="U155" s="263"/>
    </row>
    <row r="156" spans="1:21" ht="82.5" hidden="1" x14ac:dyDescent="0.2">
      <c r="A156" s="257"/>
      <c r="B156" s="258" t="s">
        <v>128</v>
      </c>
      <c r="C156" s="259" t="s">
        <v>231</v>
      </c>
      <c r="D156" s="260">
        <v>1336436.52</v>
      </c>
      <c r="E156" s="260"/>
      <c r="F156" s="261">
        <f>F126</f>
        <v>1346163.095</v>
      </c>
      <c r="G156" s="261">
        <f>G126</f>
        <v>1333981.8570000001</v>
      </c>
      <c r="H156" s="261"/>
      <c r="I156" s="186" t="s">
        <v>2</v>
      </c>
      <c r="J156" s="186" t="s">
        <v>2</v>
      </c>
      <c r="K156" s="186" t="s">
        <v>2</v>
      </c>
      <c r="L156" s="186" t="s">
        <v>2</v>
      </c>
      <c r="M156" s="186" t="s">
        <v>2</v>
      </c>
      <c r="N156" s="186" t="s">
        <v>2</v>
      </c>
      <c r="O156" s="262" t="s">
        <v>2</v>
      </c>
      <c r="P156" s="186" t="s">
        <v>2</v>
      </c>
      <c r="Q156" s="186" t="s">
        <v>2</v>
      </c>
      <c r="R156" s="186" t="s">
        <v>2</v>
      </c>
      <c r="S156" s="186" t="s">
        <v>2</v>
      </c>
      <c r="T156" s="186" t="s">
        <v>2</v>
      </c>
      <c r="U156" s="263"/>
    </row>
    <row r="157" spans="1:21" ht="82.5" hidden="1" x14ac:dyDescent="0.2">
      <c r="A157" s="257"/>
      <c r="B157" s="258" t="s">
        <v>129</v>
      </c>
      <c r="C157" s="259" t="s">
        <v>130</v>
      </c>
      <c r="D157" s="264">
        <f>(D148+D149+D150+D155)/D156</f>
        <v>1.734465375130575</v>
      </c>
      <c r="E157" s="264"/>
      <c r="F157" s="265">
        <f>F158/F156</f>
        <v>1.6499999994428611</v>
      </c>
      <c r="G157" s="265">
        <f>G158/G156</f>
        <v>1.6723071119474751</v>
      </c>
      <c r="H157" s="265"/>
      <c r="I157" s="186" t="s">
        <v>2</v>
      </c>
      <c r="J157" s="186" t="s">
        <v>2</v>
      </c>
      <c r="K157" s="186" t="s">
        <v>2</v>
      </c>
      <c r="L157" s="186" t="s">
        <v>2</v>
      </c>
      <c r="M157" s="186" t="s">
        <v>2</v>
      </c>
      <c r="N157" s="186" t="s">
        <v>2</v>
      </c>
      <c r="O157" s="262" t="s">
        <v>2</v>
      </c>
      <c r="P157" s="186" t="s">
        <v>2</v>
      </c>
      <c r="Q157" s="186" t="s">
        <v>2</v>
      </c>
      <c r="R157" s="186" t="s">
        <v>2</v>
      </c>
      <c r="S157" s="186" t="s">
        <v>2</v>
      </c>
      <c r="T157" s="186" t="s">
        <v>2</v>
      </c>
      <c r="U157" s="263"/>
    </row>
    <row r="158" spans="1:21" ht="33" hidden="1" x14ac:dyDescent="0.2">
      <c r="A158" s="257"/>
      <c r="B158" s="258" t="s">
        <v>131</v>
      </c>
      <c r="C158" s="259" t="s">
        <v>1</v>
      </c>
      <c r="D158" s="260">
        <f>D157*D156</f>
        <v>2318002.87</v>
      </c>
      <c r="E158" s="260"/>
      <c r="F158" s="260">
        <f>F148+F149+F150+F155</f>
        <v>2221169.1060000001</v>
      </c>
      <c r="G158" s="260">
        <f>G148+G149+G150+G155</f>
        <v>2230827.3466699999</v>
      </c>
      <c r="H158" s="260"/>
      <c r="I158" s="186" t="s">
        <v>2</v>
      </c>
      <c r="J158" s="186" t="s">
        <v>2</v>
      </c>
      <c r="K158" s="186" t="s">
        <v>2</v>
      </c>
      <c r="L158" s="186" t="s">
        <v>2</v>
      </c>
      <c r="M158" s="186" t="s">
        <v>2</v>
      </c>
      <c r="N158" s="186" t="s">
        <v>2</v>
      </c>
      <c r="O158" s="262" t="s">
        <v>2</v>
      </c>
      <c r="P158" s="186" t="s">
        <v>2</v>
      </c>
      <c r="Q158" s="186" t="s">
        <v>2</v>
      </c>
      <c r="R158" s="186" t="s">
        <v>2</v>
      </c>
      <c r="S158" s="186" t="s">
        <v>2</v>
      </c>
      <c r="T158" s="186" t="s">
        <v>2</v>
      </c>
      <c r="U158" s="263"/>
    </row>
    <row r="159" spans="1:21" hidden="1" x14ac:dyDescent="0.2"/>
    <row r="160" spans="1:21" hidden="1" x14ac:dyDescent="0.2"/>
    <row r="161" spans="1:23" s="164" customFormat="1" hidden="1" x14ac:dyDescent="0.2">
      <c r="A161" s="382"/>
      <c r="B161" s="382"/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267"/>
      <c r="P161" s="165"/>
      <c r="Q161" s="165"/>
      <c r="R161" s="165"/>
      <c r="S161" s="165"/>
      <c r="T161" s="165"/>
      <c r="U161" s="165"/>
      <c r="V161" s="267"/>
      <c r="W161" s="267"/>
    </row>
    <row r="162" spans="1:23" s="164" customFormat="1" hidden="1" x14ac:dyDescent="0.2">
      <c r="A162" s="161"/>
      <c r="B162" s="256"/>
      <c r="C162" s="256"/>
      <c r="D162" s="256"/>
      <c r="E162" s="256"/>
      <c r="F162" s="163"/>
      <c r="G162" s="163"/>
      <c r="H162" s="163"/>
      <c r="I162" s="165"/>
      <c r="J162" s="165"/>
      <c r="K162" s="165"/>
      <c r="L162" s="165"/>
      <c r="M162" s="165"/>
      <c r="N162" s="165"/>
      <c r="O162" s="267"/>
      <c r="P162" s="165"/>
      <c r="Q162" s="165"/>
      <c r="R162" s="165"/>
      <c r="S162" s="165"/>
      <c r="T162" s="165"/>
      <c r="U162" s="165"/>
      <c r="V162" s="267"/>
      <c r="W162" s="267"/>
    </row>
    <row r="163" spans="1:23" s="164" customFormat="1" hidden="1" x14ac:dyDescent="0.2">
      <c r="A163" s="161"/>
      <c r="B163" s="256"/>
      <c r="C163" s="256"/>
      <c r="D163" s="256"/>
      <c r="E163" s="256"/>
      <c r="F163" s="163"/>
      <c r="G163" s="163"/>
      <c r="H163" s="163"/>
      <c r="I163" s="165"/>
      <c r="J163" s="165"/>
      <c r="K163" s="165"/>
      <c r="L163" s="165"/>
      <c r="M163" s="165"/>
      <c r="N163" s="165"/>
      <c r="O163" s="267"/>
      <c r="P163" s="165"/>
      <c r="Q163" s="165"/>
      <c r="R163" s="165"/>
      <c r="S163" s="165"/>
      <c r="T163" s="165"/>
      <c r="U163" s="165"/>
      <c r="V163" s="267"/>
      <c r="W163" s="267"/>
    </row>
    <row r="164" spans="1:23" s="164" customFormat="1" hidden="1" x14ac:dyDescent="0.2">
      <c r="A164" s="161"/>
      <c r="B164" s="256"/>
      <c r="C164" s="256"/>
      <c r="D164" s="256"/>
      <c r="E164" s="256"/>
      <c r="F164" s="163"/>
      <c r="G164" s="163"/>
      <c r="H164" s="163"/>
      <c r="I164" s="165"/>
      <c r="J164" s="165"/>
      <c r="K164" s="165"/>
      <c r="L164" s="165"/>
      <c r="M164" s="165"/>
      <c r="N164" s="165"/>
      <c r="O164" s="267"/>
      <c r="P164" s="165"/>
      <c r="Q164" s="165"/>
      <c r="R164" s="165"/>
      <c r="S164" s="165"/>
      <c r="T164" s="165"/>
      <c r="U164" s="165"/>
      <c r="V164" s="267"/>
      <c r="W164" s="267"/>
    </row>
    <row r="165" spans="1:23" s="164" customFormat="1" hidden="1" x14ac:dyDescent="0.2">
      <c r="A165" s="161"/>
      <c r="B165" s="256"/>
      <c r="C165" s="256"/>
      <c r="D165" s="256"/>
      <c r="E165" s="256"/>
      <c r="F165" s="163"/>
      <c r="G165" s="163"/>
      <c r="H165" s="163"/>
      <c r="I165" s="165"/>
      <c r="J165" s="165"/>
      <c r="K165" s="165"/>
      <c r="L165" s="165"/>
      <c r="M165" s="165"/>
      <c r="N165" s="165"/>
      <c r="O165" s="267"/>
      <c r="P165" s="165"/>
      <c r="Q165" s="165"/>
      <c r="R165" s="165"/>
      <c r="S165" s="165"/>
      <c r="T165" s="165"/>
      <c r="U165" s="165"/>
      <c r="V165" s="267"/>
      <c r="W165" s="267"/>
    </row>
    <row r="166" spans="1:23" s="164" customFormat="1" hidden="1" x14ac:dyDescent="0.2">
      <c r="A166" s="161"/>
      <c r="B166" s="256"/>
      <c r="C166" s="256"/>
      <c r="D166" s="256"/>
      <c r="E166" s="256"/>
      <c r="F166" s="163"/>
      <c r="G166" s="163"/>
      <c r="H166" s="163"/>
      <c r="I166" s="165"/>
      <c r="J166" s="165"/>
      <c r="K166" s="165"/>
      <c r="L166" s="165"/>
      <c r="M166" s="165"/>
      <c r="N166" s="165"/>
      <c r="O166" s="267"/>
      <c r="P166" s="165"/>
      <c r="Q166" s="165"/>
      <c r="R166" s="165"/>
      <c r="S166" s="165"/>
      <c r="T166" s="165"/>
      <c r="U166" s="165"/>
      <c r="V166" s="267"/>
      <c r="W166" s="267"/>
    </row>
    <row r="167" spans="1:23" s="164" customFormat="1" hidden="1" x14ac:dyDescent="0.2">
      <c r="A167" s="161"/>
      <c r="B167" s="256"/>
      <c r="C167" s="256"/>
      <c r="D167" s="256"/>
      <c r="E167" s="256"/>
      <c r="F167" s="163"/>
      <c r="G167" s="163"/>
      <c r="H167" s="163"/>
      <c r="I167" s="165"/>
      <c r="J167" s="165"/>
      <c r="K167" s="165"/>
      <c r="L167" s="165"/>
      <c r="M167" s="165"/>
      <c r="N167" s="165"/>
      <c r="O167" s="267"/>
      <c r="P167" s="165"/>
      <c r="Q167" s="165"/>
      <c r="R167" s="165"/>
      <c r="S167" s="165"/>
      <c r="T167" s="165"/>
      <c r="U167" s="165"/>
      <c r="V167" s="267"/>
      <c r="W167" s="267"/>
    </row>
    <row r="168" spans="1:23" s="164" customFormat="1" hidden="1" x14ac:dyDescent="0.2">
      <c r="A168" s="161"/>
      <c r="B168" s="256"/>
      <c r="C168" s="256"/>
      <c r="D168" s="256"/>
      <c r="E168" s="256"/>
      <c r="F168" s="163"/>
      <c r="G168" s="163"/>
      <c r="H168" s="163"/>
      <c r="I168" s="165"/>
      <c r="J168" s="165"/>
      <c r="K168" s="165"/>
      <c r="L168" s="165"/>
      <c r="M168" s="165"/>
      <c r="N168" s="165"/>
      <c r="O168" s="267"/>
      <c r="P168" s="165"/>
      <c r="Q168" s="165"/>
      <c r="R168" s="165"/>
      <c r="S168" s="165"/>
      <c r="T168" s="165"/>
      <c r="U168" s="165"/>
      <c r="V168" s="267"/>
      <c r="W168" s="267"/>
    </row>
    <row r="169" spans="1:23" s="164" customFormat="1" hidden="1" x14ac:dyDescent="0.2">
      <c r="A169" s="161"/>
      <c r="B169" s="256"/>
      <c r="C169" s="256"/>
      <c r="D169" s="256"/>
      <c r="E169" s="256"/>
      <c r="F169" s="163"/>
      <c r="G169" s="163"/>
      <c r="H169" s="163"/>
      <c r="I169" s="165"/>
      <c r="J169" s="165"/>
      <c r="K169" s="165"/>
      <c r="L169" s="165"/>
      <c r="M169" s="165"/>
      <c r="N169" s="165"/>
      <c r="O169" s="267"/>
      <c r="P169" s="165"/>
      <c r="Q169" s="165"/>
      <c r="R169" s="165"/>
      <c r="S169" s="165"/>
      <c r="T169" s="165"/>
      <c r="U169" s="165"/>
      <c r="V169" s="267"/>
      <c r="W169" s="267"/>
    </row>
    <row r="170" spans="1:23" s="164" customFormat="1" hidden="1" x14ac:dyDescent="0.2">
      <c r="A170" s="161"/>
      <c r="B170" s="256"/>
      <c r="C170" s="256"/>
      <c r="D170" s="256"/>
      <c r="E170" s="256"/>
      <c r="F170" s="163"/>
      <c r="G170" s="163"/>
      <c r="H170" s="163"/>
      <c r="I170" s="165"/>
      <c r="J170" s="165"/>
      <c r="K170" s="165"/>
      <c r="L170" s="165"/>
      <c r="M170" s="165"/>
      <c r="N170" s="165"/>
      <c r="O170" s="267"/>
      <c r="P170" s="165"/>
      <c r="Q170" s="165"/>
      <c r="R170" s="165"/>
      <c r="S170" s="165"/>
      <c r="T170" s="165"/>
      <c r="U170" s="165"/>
      <c r="V170" s="267"/>
      <c r="W170" s="267"/>
    </row>
    <row r="171" spans="1:23" s="164" customFormat="1" hidden="1" x14ac:dyDescent="0.2">
      <c r="A171" s="161"/>
      <c r="B171" s="256"/>
      <c r="C171" s="256"/>
      <c r="D171" s="256"/>
      <c r="E171" s="256"/>
      <c r="F171" s="163"/>
      <c r="G171" s="163"/>
      <c r="H171" s="163"/>
      <c r="I171" s="165"/>
      <c r="J171" s="165"/>
      <c r="K171" s="165"/>
      <c r="L171" s="165"/>
      <c r="M171" s="165"/>
      <c r="N171" s="165"/>
      <c r="O171" s="267"/>
      <c r="P171" s="165"/>
      <c r="Q171" s="165"/>
      <c r="R171" s="165"/>
      <c r="S171" s="165"/>
      <c r="T171" s="165"/>
      <c r="U171" s="165"/>
      <c r="V171" s="267"/>
      <c r="W171" s="267"/>
    </row>
    <row r="172" spans="1:23" s="164" customFormat="1" hidden="1" x14ac:dyDescent="0.2">
      <c r="A172" s="161"/>
      <c r="B172" s="256"/>
      <c r="C172" s="256"/>
      <c r="D172" s="256"/>
      <c r="E172" s="256"/>
      <c r="F172" s="163"/>
      <c r="G172" s="163"/>
      <c r="H172" s="163"/>
      <c r="I172" s="165"/>
      <c r="J172" s="165"/>
      <c r="K172" s="165"/>
      <c r="L172" s="165"/>
      <c r="M172" s="165"/>
      <c r="N172" s="165"/>
      <c r="O172" s="267"/>
      <c r="P172" s="165"/>
      <c r="Q172" s="165"/>
      <c r="R172" s="165"/>
      <c r="S172" s="165"/>
      <c r="T172" s="165"/>
      <c r="U172" s="165"/>
      <c r="V172" s="267"/>
      <c r="W172" s="267"/>
    </row>
    <row r="173" spans="1:23" s="164" customFormat="1" hidden="1" x14ac:dyDescent="0.2">
      <c r="A173" s="161"/>
      <c r="B173" s="256"/>
      <c r="C173" s="256"/>
      <c r="D173" s="256"/>
      <c r="E173" s="256"/>
      <c r="F173" s="163"/>
      <c r="G173" s="163"/>
      <c r="H173" s="163"/>
      <c r="I173" s="165"/>
      <c r="J173" s="165"/>
      <c r="K173" s="165"/>
      <c r="L173" s="165"/>
      <c r="M173" s="165"/>
      <c r="N173" s="165"/>
      <c r="O173" s="267"/>
      <c r="P173" s="165"/>
      <c r="Q173" s="165"/>
      <c r="R173" s="165"/>
      <c r="S173" s="165"/>
      <c r="T173" s="165"/>
      <c r="U173" s="165"/>
      <c r="V173" s="267"/>
      <c r="W173" s="267"/>
    </row>
    <row r="174" spans="1:23" s="164" customFormat="1" hidden="1" x14ac:dyDescent="0.2">
      <c r="A174" s="161"/>
      <c r="B174" s="256"/>
      <c r="C174" s="256"/>
      <c r="D174" s="256"/>
      <c r="E174" s="256"/>
      <c r="F174" s="163"/>
      <c r="G174" s="163"/>
      <c r="H174" s="163"/>
      <c r="I174" s="165"/>
      <c r="J174" s="165"/>
      <c r="K174" s="165"/>
      <c r="L174" s="165"/>
      <c r="M174" s="165"/>
      <c r="N174" s="165"/>
      <c r="O174" s="267"/>
      <c r="P174" s="165"/>
      <c r="Q174" s="165"/>
      <c r="R174" s="165"/>
      <c r="S174" s="165"/>
      <c r="T174" s="165"/>
      <c r="U174" s="165"/>
      <c r="V174" s="267"/>
      <c r="W174" s="267"/>
    </row>
    <row r="175" spans="1:23" s="164" customFormat="1" hidden="1" x14ac:dyDescent="0.2">
      <c r="A175" s="161"/>
      <c r="B175" s="256"/>
      <c r="C175" s="256"/>
      <c r="D175" s="256"/>
      <c r="E175" s="256"/>
      <c r="F175" s="163"/>
      <c r="G175" s="163"/>
      <c r="H175" s="163"/>
      <c r="I175" s="165"/>
      <c r="J175" s="165"/>
      <c r="K175" s="165"/>
      <c r="L175" s="165"/>
      <c r="M175" s="165"/>
      <c r="N175" s="165"/>
      <c r="O175" s="267"/>
      <c r="P175" s="165"/>
      <c r="Q175" s="165"/>
      <c r="R175" s="165"/>
      <c r="S175" s="165"/>
      <c r="T175" s="165"/>
      <c r="U175" s="165"/>
      <c r="V175" s="267"/>
      <c r="W175" s="267"/>
    </row>
    <row r="176" spans="1:23" s="164" customFormat="1" hidden="1" x14ac:dyDescent="0.2">
      <c r="A176" s="161"/>
      <c r="B176" s="256"/>
      <c r="C176" s="256"/>
      <c r="D176" s="256"/>
      <c r="E176" s="256"/>
      <c r="F176" s="163"/>
      <c r="G176" s="163"/>
      <c r="H176" s="163"/>
      <c r="I176" s="165"/>
      <c r="J176" s="165"/>
      <c r="K176" s="165"/>
      <c r="L176" s="165"/>
      <c r="M176" s="165"/>
      <c r="N176" s="165"/>
      <c r="O176" s="267"/>
      <c r="P176" s="165"/>
      <c r="Q176" s="165"/>
      <c r="R176" s="165"/>
      <c r="S176" s="165"/>
      <c r="T176" s="165"/>
      <c r="U176" s="165"/>
      <c r="V176" s="267"/>
      <c r="W176" s="267"/>
    </row>
    <row r="177" spans="10:20" hidden="1" x14ac:dyDescent="0.2"/>
    <row r="178" spans="10:20" hidden="1" x14ac:dyDescent="0.2"/>
    <row r="179" spans="10:20" hidden="1" x14ac:dyDescent="0.2"/>
    <row r="180" spans="10:20" hidden="1" x14ac:dyDescent="0.2"/>
    <row r="181" spans="10:20" hidden="1" x14ac:dyDescent="0.2"/>
    <row r="182" spans="10:20" hidden="1" x14ac:dyDescent="0.2"/>
    <row r="183" spans="10:20" hidden="1" x14ac:dyDescent="0.2"/>
    <row r="184" spans="10:20" x14ac:dyDescent="0.2">
      <c r="J184" s="255"/>
      <c r="K184" s="255"/>
      <c r="L184" s="255"/>
      <c r="M184" s="255"/>
      <c r="N184" s="255"/>
      <c r="P184" s="165">
        <f>P129/1.734*100-100</f>
        <v>14.278234062963961</v>
      </c>
      <c r="Q184" s="303">
        <f>T129-1.734</f>
        <v>0.74296785467435811</v>
      </c>
    </row>
    <row r="185" spans="10:20" x14ac:dyDescent="0.2">
      <c r="P185" s="165">
        <f>P22+P100+P123</f>
        <v>570624.97821137635</v>
      </c>
      <c r="Q185" s="165">
        <f>Q22+Q100+Q123</f>
        <v>657166.06122164219</v>
      </c>
      <c r="R185" s="165">
        <f>R22+R100+R123</f>
        <v>752980.83434182254</v>
      </c>
      <c r="S185" s="165">
        <f>S22+S100+S123</f>
        <v>916644.78468510089</v>
      </c>
      <c r="T185" s="165">
        <f>T22+T100+T123</f>
        <v>926260.50019642466</v>
      </c>
    </row>
    <row r="186" spans="10:20" x14ac:dyDescent="0.2">
      <c r="P186" s="255">
        <f>P125-P22-P123-P100</f>
        <v>2052321.0327403031</v>
      </c>
      <c r="Q186" s="255">
        <f>Q125-Q22-Q123-Q100</f>
        <v>2208316.6654210072</v>
      </c>
      <c r="R186" s="255">
        <f>R125-R22-R123-R100</f>
        <v>2273505.6060586264</v>
      </c>
      <c r="S186" s="255">
        <f>S125-S22-S123-S100</f>
        <v>2362105.0096312924</v>
      </c>
      <c r="T186" s="255">
        <f>T125-T22-T123-T100</f>
        <v>2487346.9684416102</v>
      </c>
    </row>
    <row r="187" spans="10:20" x14ac:dyDescent="0.2">
      <c r="P187" s="255">
        <f>P22+P100+P123</f>
        <v>570624.97821137635</v>
      </c>
      <c r="Q187" s="255">
        <f>Q22+Q100+Q123</f>
        <v>657166.06122164219</v>
      </c>
      <c r="R187" s="255">
        <f>R22+R100+R123</f>
        <v>752980.83434182254</v>
      </c>
      <c r="S187" s="255">
        <f>S22+S100+S123</f>
        <v>916644.78468510089</v>
      </c>
      <c r="T187" s="255">
        <f>T22+T100+T123</f>
        <v>926260.50019642466</v>
      </c>
    </row>
    <row r="188" spans="10:20" x14ac:dyDescent="0.2">
      <c r="P188" s="165">
        <f>P186/P126</f>
        <v>1.5504885315749761</v>
      </c>
      <c r="Q188" s="165">
        <f>Q186/Q126</f>
        <v>1.6541662034249789</v>
      </c>
      <c r="R188" s="165">
        <f>R186/R126</f>
        <v>1.6786171355763793</v>
      </c>
      <c r="S188" s="165">
        <f>S186/S126</f>
        <v>1.731069575701502</v>
      </c>
      <c r="T188" s="165">
        <f>T186/T126</f>
        <v>1.804858508441727</v>
      </c>
    </row>
    <row r="189" spans="10:20" x14ac:dyDescent="0.2">
      <c r="P189" s="255">
        <f>P188+P190</f>
        <v>1.9815845786517952</v>
      </c>
      <c r="Q189" s="255">
        <f>Q188+Q190</f>
        <v>2.1464243589388787</v>
      </c>
      <c r="R189" s="255">
        <f>R188+R190</f>
        <v>2.2345720133292466</v>
      </c>
      <c r="S189" s="255">
        <f>S188+S190</f>
        <v>2.4028330629401649</v>
      </c>
      <c r="T189" s="255">
        <f>T188+T190</f>
        <v>2.4769678546743581</v>
      </c>
    </row>
    <row r="190" spans="10:20" x14ac:dyDescent="0.2">
      <c r="P190" s="165">
        <f>P187/P126</f>
        <v>0.43109604707681909</v>
      </c>
      <c r="Q190" s="165">
        <f>Q187/Q126</f>
        <v>0.49225815551389995</v>
      </c>
      <c r="R190" s="165">
        <f>R187/R126</f>
        <v>0.55595487775286734</v>
      </c>
      <c r="S190" s="165">
        <f>S187/S126</f>
        <v>0.67176348723866275</v>
      </c>
      <c r="T190" s="165">
        <f>T187/T126</f>
        <v>0.67210934623263086</v>
      </c>
    </row>
  </sheetData>
  <mergeCells count="22">
    <mergeCell ref="U6:U7"/>
    <mergeCell ref="B5:F5"/>
    <mergeCell ref="A6:A7"/>
    <mergeCell ref="B6:B7"/>
    <mergeCell ref="C6:C7"/>
    <mergeCell ref="D6:D7"/>
    <mergeCell ref="A127:A128"/>
    <mergeCell ref="B127:B128"/>
    <mergeCell ref="F6:F7"/>
    <mergeCell ref="O6:T6"/>
    <mergeCell ref="A161:N161"/>
    <mergeCell ref="G6:G7"/>
    <mergeCell ref="H6:H7"/>
    <mergeCell ref="I6:N6"/>
    <mergeCell ref="E6:E7"/>
    <mergeCell ref="A147:N147"/>
    <mergeCell ref="A4:N4"/>
    <mergeCell ref="K1:N1"/>
    <mergeCell ref="Q1:T1"/>
    <mergeCell ref="L2:N2"/>
    <mergeCell ref="R2:T2"/>
    <mergeCell ref="A3:N3"/>
  </mergeCells>
  <phoneticPr fontId="28" type="noConversion"/>
  <printOptions horizontalCentered="1"/>
  <pageMargins left="0" right="0" top="0" bottom="0" header="0.51181102362204722" footer="0.27559055118110237"/>
  <pageSetup paperSize="9" scale="56" fitToHeight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8" activePane="bottomRight" state="frozen"/>
      <selection pane="topRight" activeCell="F1" sqref="F1"/>
      <selection pane="bottomLeft" activeCell="A5" sqref="A5"/>
      <selection pane="bottomRight" activeCell="X15" sqref="X15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hidden="1" customWidth="1"/>
    <col min="16" max="16" width="14.7109375" style="121" hidden="1" customWidth="1"/>
    <col min="17" max="17" width="13.28515625" style="3" hidden="1" customWidth="1"/>
    <col min="18" max="18" width="13.7109375" style="3" hidden="1" customWidth="1"/>
    <col min="19" max="20" width="12.85546875" style="3" hidden="1" customWidth="1"/>
    <col min="21" max="21" width="14.5703125" style="46" hidden="1" customWidth="1"/>
    <col min="22" max="22" width="9.140625" style="3" hidden="1" customWidth="1"/>
    <col min="23" max="23" width="14.85546875" style="144" customWidth="1"/>
    <col min="24" max="24" width="14.7109375" style="121" customWidth="1"/>
    <col min="25" max="25" width="13.28515625" style="3" customWidth="1"/>
    <col min="26" max="26" width="13.7109375" style="3" customWidth="1"/>
    <col min="27" max="28" width="12.85546875" style="3" customWidth="1"/>
    <col min="29" max="16384" width="9.140625" style="3"/>
  </cols>
  <sheetData>
    <row r="1" spans="1:28" x14ac:dyDescent="0.2">
      <c r="B1" s="2" t="s">
        <v>148</v>
      </c>
      <c r="C1" s="2"/>
      <c r="D1" s="2"/>
      <c r="E1" s="2"/>
      <c r="K1" s="356"/>
      <c r="L1" s="356"/>
      <c r="M1" s="356"/>
      <c r="N1" s="356"/>
      <c r="Q1" s="356"/>
      <c r="R1" s="356"/>
      <c r="S1" s="356"/>
      <c r="T1" s="356"/>
      <c r="Y1" s="356"/>
      <c r="Z1" s="356"/>
      <c r="AA1" s="356"/>
      <c r="AB1" s="356"/>
    </row>
    <row r="2" spans="1:28" x14ac:dyDescent="0.2">
      <c r="B2" s="2" t="s">
        <v>153</v>
      </c>
      <c r="C2" s="2"/>
      <c r="D2" s="2"/>
      <c r="E2" s="2"/>
      <c r="L2" s="356"/>
      <c r="M2" s="356"/>
      <c r="N2" s="356"/>
      <c r="R2" s="356"/>
      <c r="S2" s="356"/>
      <c r="T2" s="356"/>
      <c r="Z2" s="356"/>
      <c r="AA2" s="356"/>
      <c r="AB2" s="356"/>
    </row>
    <row r="3" spans="1:28" ht="15.75" customHeight="1" x14ac:dyDescent="0.2">
      <c r="A3" s="357" t="s">
        <v>159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28" x14ac:dyDescent="0.2">
      <c r="A4" s="357" t="s">
        <v>160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28" x14ac:dyDescent="0.2">
      <c r="B5" s="361"/>
      <c r="C5" s="361"/>
      <c r="D5" s="361"/>
      <c r="E5" s="361"/>
      <c r="F5" s="361"/>
    </row>
    <row r="6" spans="1:28" x14ac:dyDescent="0.2">
      <c r="A6" s="367" t="s">
        <v>161</v>
      </c>
      <c r="B6" s="360" t="s">
        <v>162</v>
      </c>
      <c r="C6" s="358" t="s">
        <v>163</v>
      </c>
      <c r="D6" s="358" t="s">
        <v>164</v>
      </c>
      <c r="E6" s="363" t="s">
        <v>145</v>
      </c>
      <c r="F6" s="358" t="s">
        <v>165</v>
      </c>
      <c r="G6" s="358" t="s">
        <v>166</v>
      </c>
      <c r="H6" s="363" t="s">
        <v>146</v>
      </c>
      <c r="I6" s="360" t="s">
        <v>152</v>
      </c>
      <c r="J6" s="360"/>
      <c r="K6" s="360"/>
      <c r="L6" s="360"/>
      <c r="M6" s="360"/>
      <c r="N6" s="360"/>
      <c r="O6" s="360" t="s">
        <v>150</v>
      </c>
      <c r="P6" s="360"/>
      <c r="Q6" s="360"/>
      <c r="R6" s="360"/>
      <c r="S6" s="360"/>
      <c r="T6" s="360"/>
      <c r="U6" s="358" t="s">
        <v>142</v>
      </c>
      <c r="W6" s="360" t="s">
        <v>137</v>
      </c>
      <c r="X6" s="360"/>
      <c r="Y6" s="360"/>
      <c r="Z6" s="360"/>
      <c r="AA6" s="360"/>
      <c r="AB6" s="360"/>
    </row>
    <row r="7" spans="1:28" ht="78.75" x14ac:dyDescent="0.2">
      <c r="A7" s="367"/>
      <c r="B7" s="360"/>
      <c r="C7" s="359"/>
      <c r="D7" s="362"/>
      <c r="E7" s="364"/>
      <c r="F7" s="362"/>
      <c r="G7" s="362"/>
      <c r="H7" s="364"/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 t="s">
        <v>173</v>
      </c>
      <c r="O7" s="145" t="s">
        <v>168</v>
      </c>
      <c r="P7" s="15" t="s">
        <v>169</v>
      </c>
      <c r="Q7" s="6" t="s">
        <v>170</v>
      </c>
      <c r="R7" s="6" t="s">
        <v>171</v>
      </c>
      <c r="S7" s="6" t="s">
        <v>172</v>
      </c>
      <c r="T7" s="6" t="s">
        <v>173</v>
      </c>
      <c r="U7" s="359"/>
      <c r="W7" s="145" t="s">
        <v>168</v>
      </c>
      <c r="X7" s="15" t="s">
        <v>169</v>
      </c>
      <c r="Y7" s="6" t="s">
        <v>170</v>
      </c>
      <c r="Z7" s="6" t="s">
        <v>171</v>
      </c>
      <c r="AA7" s="6" t="s">
        <v>172</v>
      </c>
      <c r="AB7" s="6" t="s">
        <v>173</v>
      </c>
    </row>
    <row r="8" spans="1:28" s="67" customFormat="1" ht="31.5" x14ac:dyDescent="0.2">
      <c r="A8" s="61" t="s">
        <v>174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10396716.565598197</v>
      </c>
      <c r="X8" s="65">
        <f t="shared" si="1"/>
        <v>2219890.5192514737</v>
      </c>
      <c r="Y8" s="65">
        <f t="shared" si="1"/>
        <v>2442974.0258058314</v>
      </c>
      <c r="Z8" s="65">
        <f t="shared" si="1"/>
        <v>2659750.5524652214</v>
      </c>
      <c r="AA8" s="65">
        <f t="shared" si="1"/>
        <v>2896525.8320308528</v>
      </c>
      <c r="AB8" s="65">
        <f t="shared" si="1"/>
        <v>3180058.1903117681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3415650.5072560245</v>
      </c>
      <c r="X9" s="58">
        <f t="shared" si="3"/>
        <v>659173.96406000003</v>
      </c>
      <c r="Y9" s="58">
        <f t="shared" si="3"/>
        <v>665700.42550360004</v>
      </c>
      <c r="Z9" s="58">
        <f t="shared" si="3"/>
        <v>681954.17691381602</v>
      </c>
      <c r="AA9" s="58">
        <f t="shared" si="3"/>
        <v>695649.739688645</v>
      </c>
      <c r="AB9" s="58">
        <f t="shared" si="3"/>
        <v>713172.20108996367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325109.67821114796</v>
      </c>
      <c r="X10" s="132">
        <f>54408.761*1.06</f>
        <v>57673.286659999998</v>
      </c>
      <c r="Y10" s="16">
        <f>X10*1.06</f>
        <v>61133.683859600002</v>
      </c>
      <c r="Z10" s="16">
        <f>Y10*1.06</f>
        <v>64801.704891176007</v>
      </c>
      <c r="AA10" s="16">
        <f>Z10*1.06</f>
        <v>68689.807184646575</v>
      </c>
      <c r="AB10" s="16">
        <f>AA10*1.06</f>
        <v>72811.195615725374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238218.96000000002</v>
      </c>
      <c r="X14" s="15">
        <v>41687.449999999997</v>
      </c>
      <c r="Y14" s="15">
        <v>44364.31</v>
      </c>
      <c r="Z14" s="15">
        <v>47555.77</v>
      </c>
      <c r="AA14" s="15">
        <v>51231.86</v>
      </c>
      <c r="AB14" s="15">
        <v>53379.57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138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139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x14ac:dyDescent="0.2">
      <c r="A30" s="5" t="s">
        <v>39</v>
      </c>
      <c r="B30" s="16" t="s">
        <v>175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x14ac:dyDescent="0.2">
      <c r="A31" s="5" t="s">
        <v>176</v>
      </c>
      <c r="B31" s="16" t="s">
        <v>177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x14ac:dyDescent="0.2">
      <c r="A32" s="5" t="s">
        <v>178</v>
      </c>
      <c r="B32" s="16" t="s">
        <v>179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x14ac:dyDescent="0.2">
      <c r="A33" s="5" t="s">
        <v>180</v>
      </c>
      <c r="B33" s="16" t="s">
        <v>181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x14ac:dyDescent="0.2">
      <c r="A34" s="5" t="s">
        <v>182</v>
      </c>
      <c r="B34" s="16" t="s">
        <v>183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x14ac:dyDescent="0.2">
      <c r="A35" s="5" t="s">
        <v>184</v>
      </c>
      <c r="B35" s="16" t="s">
        <v>185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x14ac:dyDescent="0.2">
      <c r="A36" s="128" t="s">
        <v>186</v>
      </c>
      <c r="B36" s="129" t="s">
        <v>187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x14ac:dyDescent="0.2">
      <c r="A37" s="128" t="s">
        <v>188</v>
      </c>
      <c r="B37" s="129" t="s">
        <v>189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x14ac:dyDescent="0.2">
      <c r="A38" s="5" t="s">
        <v>190</v>
      </c>
      <c r="B38" s="25" t="s">
        <v>191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192</v>
      </c>
      <c r="B39" s="26" t="s">
        <v>193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194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195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196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197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198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199</v>
      </c>
      <c r="B45" s="26" t="s">
        <v>200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223800.90993981872</v>
      </c>
      <c r="X45" s="12">
        <f t="shared" si="18"/>
        <v>48884.5987600972</v>
      </c>
      <c r="Y45" s="12">
        <f t="shared" si="18"/>
        <v>51858.03444298901</v>
      </c>
      <c r="Z45" s="12">
        <f t="shared" si="18"/>
        <v>55012.701189568354</v>
      </c>
      <c r="AA45" s="12">
        <f t="shared" si="18"/>
        <v>55153.81574094246</v>
      </c>
      <c r="AB45" s="12">
        <f t="shared" si="18"/>
        <v>58480.431265399005</v>
      </c>
    </row>
    <row r="46" spans="1:28" x14ac:dyDescent="0.2">
      <c r="A46" s="5" t="s">
        <v>201</v>
      </c>
      <c r="B46" s="16" t="s">
        <v>202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73601.898040003231</v>
      </c>
      <c r="X46" s="15">
        <f>F46*1.06*1.06</f>
        <v>13056.711777200002</v>
      </c>
      <c r="Y46" s="16">
        <f t="shared" ref="Y46:AB48" si="20">X46*1.06</f>
        <v>13840.114483832003</v>
      </c>
      <c r="Z46" s="16">
        <f t="shared" si="20"/>
        <v>14670.521352861924</v>
      </c>
      <c r="AA46" s="16">
        <f t="shared" si="20"/>
        <v>15550.752634033641</v>
      </c>
      <c r="AB46" s="16">
        <f t="shared" si="20"/>
        <v>16483.79779207566</v>
      </c>
    </row>
    <row r="47" spans="1:28" x14ac:dyDescent="0.2">
      <c r="A47" s="5" t="s">
        <v>203</v>
      </c>
      <c r="B47" s="16" t="s">
        <v>204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x14ac:dyDescent="0.2">
      <c r="A48" s="5" t="s">
        <v>205</v>
      </c>
      <c r="B48" s="16" t="s">
        <v>206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207</v>
      </c>
      <c r="B49" s="138" t="s">
        <v>208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outlineLevel="1" x14ac:dyDescent="0.2">
      <c r="A50" s="5"/>
      <c r="B50" s="16" t="s">
        <v>194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outlineLevel="1" x14ac:dyDescent="0.2">
      <c r="A51" s="5"/>
      <c r="B51" s="16" t="s">
        <v>209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>X51*1.06</f>
        <v>605.2992200000001</v>
      </c>
      <c r="Z51" s="16">
        <f t="shared" ref="Z51:AB55" si="25">Y51*1.06</f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outlineLevel="1" x14ac:dyDescent="0.2">
      <c r="A52" s="5"/>
      <c r="B52" s="16" t="s">
        <v>210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>X52*1.06</f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outlineLevel="1" x14ac:dyDescent="0.2">
      <c r="A53" s="5"/>
      <c r="B53" s="16" t="s">
        <v>211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>X53*1.06</f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outlineLevel="1" x14ac:dyDescent="0.2">
      <c r="A54" s="5"/>
      <c r="B54" s="16" t="s">
        <v>212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>X54*1.06</f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outlineLevel="1" x14ac:dyDescent="0.2">
      <c r="A55" s="5"/>
      <c r="B55" s="16" t="s">
        <v>213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>X55*1.06</f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outlineLevel="1" x14ac:dyDescent="0.2">
      <c r="A56" s="5"/>
      <c r="B56" s="16" t="s">
        <v>214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141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141</v>
      </c>
      <c r="Y56" s="16"/>
      <c r="Z56" s="16"/>
      <c r="AA56" s="16"/>
      <c r="AB56" s="16"/>
    </row>
    <row r="57" spans="1:28" outlineLevel="1" x14ac:dyDescent="0.2">
      <c r="A57" s="5"/>
      <c r="B57" s="16" t="s">
        <v>215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x14ac:dyDescent="0.2">
      <c r="A58" s="118" t="s">
        <v>216</v>
      </c>
      <c r="B58" s="31" t="s">
        <v>217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218</v>
      </c>
      <c r="B59" s="16" t="s">
        <v>41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42</v>
      </c>
      <c r="B60" s="13" t="s">
        <v>43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44</v>
      </c>
      <c r="B61" s="26" t="s">
        <v>45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outlineLevel="1" x14ac:dyDescent="0.2">
      <c r="A62" s="5"/>
      <c r="B62" s="25" t="s">
        <v>46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outlineLevel="1" x14ac:dyDescent="0.2">
      <c r="A63" s="5"/>
      <c r="B63" s="25" t="s">
        <v>47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outlineLevel="1" x14ac:dyDescent="0.2">
      <c r="A64" s="5"/>
      <c r="B64" s="25" t="s">
        <v>48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AB70" si="31">X64*1.06</f>
        <v>2968.636</v>
      </c>
      <c r="Z64" s="16">
        <f t="shared" si="31"/>
        <v>3146.75416</v>
      </c>
      <c r="AA64" s="16">
        <f t="shared" si="31"/>
        <v>3335.5594096</v>
      </c>
      <c r="AB64" s="16">
        <f t="shared" si="31"/>
        <v>3535.692974176</v>
      </c>
    </row>
    <row r="65" spans="1:28" outlineLevel="1" x14ac:dyDescent="0.2">
      <c r="A65" s="5"/>
      <c r="B65" s="16" t="s">
        <v>49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1"/>
        <v>53.595720000000007</v>
      </c>
      <c r="AA65" s="16">
        <f t="shared" si="31"/>
        <v>56.811463200000013</v>
      </c>
      <c r="AB65" s="16">
        <f t="shared" si="31"/>
        <v>60.220150992000015</v>
      </c>
    </row>
    <row r="66" spans="1:28" outlineLevel="1" x14ac:dyDescent="0.2">
      <c r="A66" s="30"/>
      <c r="B66" s="16" t="s">
        <v>50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1"/>
        <v>169.11303600000002</v>
      </c>
      <c r="AA66" s="16">
        <f t="shared" si="31"/>
        <v>179.25981816000004</v>
      </c>
      <c r="AB66" s="16">
        <f t="shared" si="31"/>
        <v>190.01540724960006</v>
      </c>
    </row>
    <row r="67" spans="1:28" outlineLevel="1" x14ac:dyDescent="0.2">
      <c r="A67" s="30"/>
      <c r="B67" s="25" t="s">
        <v>51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1"/>
        <v>159.95569600000005</v>
      </c>
      <c r="AA67" s="16">
        <f t="shared" si="31"/>
        <v>169.55303776000005</v>
      </c>
      <c r="AB67" s="16">
        <f t="shared" si="31"/>
        <v>179.72622002560007</v>
      </c>
    </row>
    <row r="68" spans="1:28" ht="15" customHeight="1" outlineLevel="1" x14ac:dyDescent="0.2">
      <c r="A68" s="30"/>
      <c r="B68" s="25" t="s">
        <v>52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1"/>
        <v>217.573904</v>
      </c>
      <c r="AA68" s="16">
        <f t="shared" si="31"/>
        <v>230.62833824000001</v>
      </c>
      <c r="AB68" s="16">
        <f t="shared" si="31"/>
        <v>244.46603853440001</v>
      </c>
    </row>
    <row r="69" spans="1:28" ht="15" customHeight="1" outlineLevel="1" x14ac:dyDescent="0.2">
      <c r="A69" s="30"/>
      <c r="B69" s="25" t="s">
        <v>53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1"/>
        <v>510.43462600000009</v>
      </c>
      <c r="AA69" s="16">
        <f t="shared" si="31"/>
        <v>541.06070356000009</v>
      </c>
      <c r="AB69" s="16">
        <f t="shared" si="31"/>
        <v>573.52434577360009</v>
      </c>
    </row>
    <row r="70" spans="1:28" ht="15" customHeight="1" outlineLevel="1" x14ac:dyDescent="0.2">
      <c r="A70" s="30"/>
      <c r="B70" s="25" t="s">
        <v>54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1"/>
        <v>779.92491744000017</v>
      </c>
      <c r="AA70" s="16">
        <f t="shared" si="31"/>
        <v>826.72041248640028</v>
      </c>
      <c r="AB70" s="16">
        <f t="shared" si="31"/>
        <v>876.32363723558433</v>
      </c>
    </row>
    <row r="71" spans="1:28" outlineLevel="1" x14ac:dyDescent="0.2">
      <c r="A71" s="30"/>
      <c r="B71" s="31" t="s">
        <v>55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outlineLevel="1" x14ac:dyDescent="0.2">
      <c r="A72" s="30"/>
      <c r="B72" s="16" t="s">
        <v>56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141</v>
      </c>
      <c r="Q72" s="16"/>
      <c r="R72" s="16"/>
      <c r="S72" s="16"/>
      <c r="T72" s="16"/>
      <c r="U72" s="66">
        <f t="shared" si="4"/>
        <v>76</v>
      </c>
      <c r="W72" s="136"/>
      <c r="X72" s="124" t="s">
        <v>141</v>
      </c>
      <c r="Y72" s="16"/>
      <c r="Z72" s="16"/>
      <c r="AA72" s="16"/>
      <c r="AB72" s="16"/>
    </row>
    <row r="73" spans="1:28" outlineLevel="1" x14ac:dyDescent="0.2">
      <c r="A73" s="30"/>
      <c r="B73" s="16" t="s">
        <v>57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58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2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59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2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60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3">P76+Q76+R76+S76+T76</f>
        <v>0</v>
      </c>
      <c r="P76" s="15"/>
      <c r="Q76" s="16"/>
      <c r="R76" s="16"/>
      <c r="S76" s="16"/>
      <c r="T76" s="16"/>
      <c r="U76" s="66">
        <f t="shared" si="32"/>
        <v>0</v>
      </c>
      <c r="W76" s="136">
        <f t="shared" ref="W76:W83" si="34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61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3"/>
        <v>0</v>
      </c>
      <c r="P77" s="15"/>
      <c r="Q77" s="16"/>
      <c r="R77" s="16"/>
      <c r="S77" s="16"/>
      <c r="T77" s="16"/>
      <c r="U77" s="66">
        <f t="shared" si="32"/>
        <v>0</v>
      </c>
      <c r="W77" s="136">
        <f t="shared" si="34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62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3"/>
        <v>0</v>
      </c>
      <c r="P78" s="15"/>
      <c r="Q78" s="16"/>
      <c r="R78" s="16"/>
      <c r="S78" s="16"/>
      <c r="T78" s="16"/>
      <c r="U78" s="66">
        <f t="shared" si="32"/>
        <v>0</v>
      </c>
      <c r="W78" s="136">
        <f t="shared" si="34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63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3"/>
        <v>0</v>
      </c>
      <c r="P79" s="15"/>
      <c r="Q79" s="16"/>
      <c r="R79" s="16"/>
      <c r="S79" s="16"/>
      <c r="T79" s="16"/>
      <c r="U79" s="66">
        <f t="shared" si="32"/>
        <v>0</v>
      </c>
      <c r="W79" s="136">
        <f t="shared" si="34"/>
        <v>0</v>
      </c>
      <c r="X79" s="15"/>
      <c r="Y79" s="16"/>
      <c r="Z79" s="16"/>
      <c r="AA79" s="16"/>
      <c r="AB79" s="16"/>
    </row>
    <row r="80" spans="1:28" outlineLevel="1" x14ac:dyDescent="0.2">
      <c r="A80" s="30"/>
      <c r="B80" s="16" t="s">
        <v>64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3"/>
        <v>0</v>
      </c>
      <c r="P80" s="124" t="s">
        <v>141</v>
      </c>
      <c r="Q80" s="16"/>
      <c r="R80" s="16"/>
      <c r="S80" s="16"/>
      <c r="T80" s="16"/>
      <c r="U80" s="66">
        <f t="shared" si="32"/>
        <v>335.98</v>
      </c>
      <c r="W80" s="136">
        <f t="shared" si="34"/>
        <v>0</v>
      </c>
      <c r="X80" s="124" t="s">
        <v>141</v>
      </c>
      <c r="Y80" s="16"/>
      <c r="Z80" s="16"/>
      <c r="AA80" s="16"/>
      <c r="AB80" s="16"/>
    </row>
    <row r="81" spans="1:28" outlineLevel="1" x14ac:dyDescent="0.2">
      <c r="A81" s="30"/>
      <c r="B81" s="16" t="s">
        <v>65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3"/>
        <v>0</v>
      </c>
      <c r="P81" s="15"/>
      <c r="Q81" s="16"/>
      <c r="R81" s="16"/>
      <c r="S81" s="16"/>
      <c r="T81" s="16"/>
      <c r="U81" s="66">
        <f t="shared" si="32"/>
        <v>0</v>
      </c>
      <c r="W81" s="136">
        <f t="shared" si="34"/>
        <v>0</v>
      </c>
      <c r="X81" s="15"/>
      <c r="Y81" s="16"/>
      <c r="Z81" s="16"/>
      <c r="AA81" s="16"/>
      <c r="AB81" s="16"/>
    </row>
    <row r="82" spans="1:28" outlineLevel="1" x14ac:dyDescent="0.2">
      <c r="A82" s="30"/>
      <c r="B82" s="16" t="s">
        <v>66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3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2"/>
        <v>-4.2857142972252404E-6</v>
      </c>
      <c r="W82" s="136">
        <f t="shared" si="34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outlineLevel="1" x14ac:dyDescent="0.2">
      <c r="A83" s="30"/>
      <c r="B83" s="16" t="s">
        <v>67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3"/>
        <v>0</v>
      </c>
      <c r="P83" s="15"/>
      <c r="Q83" s="16"/>
      <c r="R83" s="16"/>
      <c r="S83" s="16"/>
      <c r="T83" s="16"/>
      <c r="U83" s="66">
        <f t="shared" si="32"/>
        <v>0</v>
      </c>
      <c r="W83" s="136">
        <f t="shared" si="34"/>
        <v>0</v>
      </c>
      <c r="X83" s="15"/>
      <c r="Y83" s="16"/>
      <c r="Z83" s="16"/>
      <c r="AA83" s="16"/>
      <c r="AB83" s="16"/>
    </row>
    <row r="84" spans="1:28" s="67" customFormat="1" x14ac:dyDescent="0.2">
      <c r="A84" s="61" t="s">
        <v>68</v>
      </c>
      <c r="B84" s="68" t="s">
        <v>69</v>
      </c>
      <c r="C84" s="69" t="s">
        <v>1</v>
      </c>
      <c r="D84" s="64" t="s">
        <v>2</v>
      </c>
      <c r="E84" s="156">
        <v>381368.34</v>
      </c>
      <c r="F84" s="70">
        <f t="shared" ref="F84:T84" si="35">F85+F113+F121</f>
        <v>282751.91499999998</v>
      </c>
      <c r="G84" s="70">
        <f t="shared" si="35"/>
        <v>274269.908</v>
      </c>
      <c r="H84" s="70"/>
      <c r="I84" s="70">
        <f t="shared" si="35"/>
        <v>2424221.2602088014</v>
      </c>
      <c r="J84" s="70">
        <f t="shared" si="35"/>
        <v>432090.95190771203</v>
      </c>
      <c r="K84" s="70">
        <f t="shared" si="35"/>
        <v>476829.04499701946</v>
      </c>
      <c r="L84" s="70">
        <f t="shared" si="35"/>
        <v>475365.14964083506</v>
      </c>
      <c r="M84" s="70">
        <f t="shared" si="35"/>
        <v>501020.61030292511</v>
      </c>
      <c r="N84" s="70">
        <f t="shared" si="35"/>
        <v>538915.50336030964</v>
      </c>
      <c r="O84" s="148">
        <f t="shared" si="35"/>
        <v>1011730.3952875525</v>
      </c>
      <c r="P84" s="125">
        <f t="shared" si="35"/>
        <v>217083.02776020579</v>
      </c>
      <c r="Q84" s="70">
        <f t="shared" si="35"/>
        <v>243838.30328041821</v>
      </c>
      <c r="R84" s="70">
        <f t="shared" si="35"/>
        <v>216823.79034544327</v>
      </c>
      <c r="S84" s="70">
        <f t="shared" si="35"/>
        <v>215309.14906036988</v>
      </c>
      <c r="T84" s="70">
        <f t="shared" si="35"/>
        <v>224174.1257275854</v>
      </c>
      <c r="U84" s="66">
        <f t="shared" si="32"/>
        <v>215007.92414750624</v>
      </c>
      <c r="W84" s="148">
        <f t="shared" ref="W84:AB84" si="36">W85+W113+W121</f>
        <v>1037484.635114452</v>
      </c>
      <c r="X84" s="125">
        <f t="shared" si="36"/>
        <v>221972.78700852348</v>
      </c>
      <c r="Y84" s="70">
        <f t="shared" si="36"/>
        <v>249021.4480836349</v>
      </c>
      <c r="Z84" s="70">
        <f t="shared" si="36"/>
        <v>222317.92383685301</v>
      </c>
      <c r="AA84" s="70">
        <f t="shared" si="36"/>
        <v>221132.93056126422</v>
      </c>
      <c r="AB84" s="70">
        <f t="shared" si="36"/>
        <v>230347.33411853336</v>
      </c>
    </row>
    <row r="85" spans="1:28" s="2" customFormat="1" ht="31.5" x14ac:dyDescent="0.2">
      <c r="A85" s="7" t="s">
        <v>192</v>
      </c>
      <c r="B85" s="26" t="s">
        <v>70</v>
      </c>
      <c r="C85" s="14" t="s">
        <v>1</v>
      </c>
      <c r="D85" s="10" t="s">
        <v>2</v>
      </c>
      <c r="E85" s="10"/>
      <c r="F85" s="21">
        <f t="shared" ref="F85:T85" si="37">F86+F89+F90+F99</f>
        <v>132091.18599999999</v>
      </c>
      <c r="G85" s="21">
        <f t="shared" si="37"/>
        <v>132157.022</v>
      </c>
      <c r="H85" s="21"/>
      <c r="I85" s="21">
        <f t="shared" si="37"/>
        <v>2280735.9431958967</v>
      </c>
      <c r="J85" s="21">
        <f t="shared" si="37"/>
        <v>357988.61516741454</v>
      </c>
      <c r="K85" s="21">
        <f t="shared" si="37"/>
        <v>441986.51527082967</v>
      </c>
      <c r="L85" s="21">
        <f t="shared" si="37"/>
        <v>464533.68440998346</v>
      </c>
      <c r="M85" s="21">
        <f t="shared" si="37"/>
        <v>489559.55181707913</v>
      </c>
      <c r="N85" s="21">
        <f t="shared" si="37"/>
        <v>526667.57653059007</v>
      </c>
      <c r="O85" s="148">
        <f t="shared" si="37"/>
        <v>977867.74423124467</v>
      </c>
      <c r="P85" s="12">
        <f t="shared" si="37"/>
        <v>146509.15252620581</v>
      </c>
      <c r="Q85" s="21">
        <f t="shared" si="37"/>
        <v>212641.55433337818</v>
      </c>
      <c r="R85" s="21">
        <f t="shared" si="37"/>
        <v>210011.35016618087</v>
      </c>
      <c r="S85" s="21">
        <f t="shared" si="37"/>
        <v>208143.20088755173</v>
      </c>
      <c r="T85" s="21">
        <f t="shared" si="37"/>
        <v>216564.27732439816</v>
      </c>
      <c r="U85" s="66">
        <f t="shared" si="32"/>
        <v>211479.46264120872</v>
      </c>
      <c r="W85" s="148">
        <f t="shared" ref="W85:AB85" si="38">W86+W89+W90+W99</f>
        <v>981032.56256808876</v>
      </c>
      <c r="X85" s="12">
        <f t="shared" si="38"/>
        <v>147391.62971436468</v>
      </c>
      <c r="Y85" s="21">
        <f t="shared" si="38"/>
        <v>213576.98015282658</v>
      </c>
      <c r="Z85" s="21">
        <f t="shared" si="38"/>
        <v>211002.90153479617</v>
      </c>
      <c r="AA85" s="21">
        <f t="shared" si="38"/>
        <v>209194.24533828397</v>
      </c>
      <c r="AB85" s="21">
        <f t="shared" si="38"/>
        <v>217678.38444217431</v>
      </c>
    </row>
    <row r="86" spans="1:28" s="23" customFormat="1" ht="31.5" x14ac:dyDescent="0.2">
      <c r="A86" s="5" t="s">
        <v>71</v>
      </c>
      <c r="B86" s="13" t="s">
        <v>72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2"/>
        <v>144023.781077616</v>
      </c>
      <c r="V86" s="23">
        <f>P86/J86*100-100</f>
        <v>-59.859660077790181</v>
      </c>
      <c r="W86" s="136">
        <f>X86+Y86+Z86+AA86+AB86</f>
        <v>544422.67446033086</v>
      </c>
      <c r="X86" s="15">
        <f>X87*X88*12/1000</f>
        <v>96578.62276238401</v>
      </c>
      <c r="Y86" s="16">
        <f>Y87*Y88*12/1000</f>
        <v>102373.34012812706</v>
      </c>
      <c r="Z86" s="16">
        <f>Z87*Z88*12/1000</f>
        <v>108515.74053581469</v>
      </c>
      <c r="AA86" s="16">
        <f>AA87*AA88*12/1000</f>
        <v>115026.68496796358</v>
      </c>
      <c r="AB86" s="16">
        <f>AB87*AB88*12/1000</f>
        <v>121928.2860660414</v>
      </c>
    </row>
    <row r="87" spans="1:28" s="23" customFormat="1" x14ac:dyDescent="0.2">
      <c r="A87" s="5"/>
      <c r="B87" s="13" t="s">
        <v>140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135148.79*1.06*1.06</f>
        <v>151853.18044400003</v>
      </c>
      <c r="Y87" s="16">
        <f>X87*1.06</f>
        <v>160964.37127064003</v>
      </c>
      <c r="Z87" s="16">
        <f>Y87*1.06</f>
        <v>170622.23354687844</v>
      </c>
      <c r="AA87" s="16">
        <f>Z87*1.06</f>
        <v>180859.56755969115</v>
      </c>
      <c r="AB87" s="16">
        <f>AA87*1.06</f>
        <v>191711.14161327263</v>
      </c>
    </row>
    <row r="88" spans="1:28" s="23" customFormat="1" x14ac:dyDescent="0.2">
      <c r="A88" s="5"/>
      <c r="B88" s="13" t="s">
        <v>139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73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2"/>
        <v>14258.353973610381</v>
      </c>
      <c r="W89" s="136">
        <f>X89+Y89+Z89+AA89+AB89</f>
        <v>53897.844771572745</v>
      </c>
      <c r="X89" s="15">
        <f>X86*0.099</f>
        <v>9561.2836534760172</v>
      </c>
      <c r="Y89" s="16">
        <f>Y86*0.099</f>
        <v>10134.96067268458</v>
      </c>
      <c r="Z89" s="16">
        <f>Z86*0.099</f>
        <v>10743.058313045654</v>
      </c>
      <c r="AA89" s="16">
        <f>AA86*0.099</f>
        <v>11387.641811828395</v>
      </c>
      <c r="AB89" s="16">
        <f>AB86*0.099</f>
        <v>12070.9003205381</v>
      </c>
    </row>
    <row r="90" spans="1:28" x14ac:dyDescent="0.2">
      <c r="A90" s="5" t="s">
        <v>74</v>
      </c>
      <c r="B90" s="31" t="s">
        <v>75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39">G92+G93+G97+G98+G96</f>
        <v>10987.606</v>
      </c>
      <c r="H90" s="17">
        <v>12543</v>
      </c>
      <c r="I90" s="17">
        <f t="shared" si="39"/>
        <v>286049.86503193877</v>
      </c>
      <c r="J90" s="17">
        <f>J92+J93+J97+J98+J96</f>
        <v>13214.012816485501</v>
      </c>
      <c r="K90" s="17">
        <f t="shared" si="39"/>
        <v>80246.772357084497</v>
      </c>
      <c r="L90" s="17">
        <f t="shared" si="39"/>
        <v>71118.683919557749</v>
      </c>
      <c r="M90" s="17">
        <f t="shared" si="39"/>
        <v>61874.782349803812</v>
      </c>
      <c r="N90" s="17">
        <f t="shared" si="39"/>
        <v>59595.613589007211</v>
      </c>
      <c r="O90" s="150">
        <f t="shared" si="39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outlineLevel="1" x14ac:dyDescent="0.2">
      <c r="A91" s="5"/>
      <c r="B91" s="16" t="s">
        <v>194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outlineLevel="1" x14ac:dyDescent="0.2">
      <c r="A92" s="5"/>
      <c r="B92" s="16" t="s">
        <v>76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outlineLevel="1" x14ac:dyDescent="0.2">
      <c r="A93" s="5"/>
      <c r="B93" s="16" t="s">
        <v>77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0">G94+G95</f>
        <v>2678.607</v>
      </c>
      <c r="H93" s="17"/>
      <c r="I93" s="17">
        <f t="shared" si="40"/>
        <v>16478.397229393217</v>
      </c>
      <c r="J93" s="17">
        <f t="shared" si="40"/>
        <v>2865.4399375000003</v>
      </c>
      <c r="K93" s="17">
        <f t="shared" si="40"/>
        <v>3066.0207331250003</v>
      </c>
      <c r="L93" s="17">
        <f t="shared" si="40"/>
        <v>3280.6421844437509</v>
      </c>
      <c r="M93" s="17">
        <f t="shared" si="40"/>
        <v>3510.2871373548132</v>
      </c>
      <c r="N93" s="17">
        <f t="shared" si="40"/>
        <v>3756.0072369696504</v>
      </c>
      <c r="O93" s="150">
        <f t="shared" si="40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143</v>
      </c>
      <c r="B94" s="136" t="s">
        <v>78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144</v>
      </c>
      <c r="B95" s="136" t="s">
        <v>79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outlineLevel="1" x14ac:dyDescent="0.2">
      <c r="A96" s="5"/>
      <c r="B96" s="16" t="s">
        <v>80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outlineLevel="1" x14ac:dyDescent="0.2">
      <c r="A97" s="5"/>
      <c r="B97" s="16" t="s">
        <v>81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outlineLevel="1" x14ac:dyDescent="0.2">
      <c r="A98" s="5"/>
      <c r="B98" s="16" t="s">
        <v>82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x14ac:dyDescent="0.2">
      <c r="A99" s="7" t="s">
        <v>83</v>
      </c>
      <c r="B99" s="21" t="s">
        <v>84</v>
      </c>
      <c r="C99" s="9" t="s">
        <v>85</v>
      </c>
      <c r="D99" s="134" t="s">
        <v>2</v>
      </c>
      <c r="E99" s="134"/>
      <c r="F99" s="21">
        <f t="shared" ref="F99:O99" si="41">F100+F103+F104+F105+F106+F107+F108+F109+F110+F111+F112</f>
        <v>26745.875</v>
      </c>
      <c r="G99" s="21">
        <f t="shared" si="41"/>
        <v>24732.883000000005</v>
      </c>
      <c r="H99" s="21"/>
      <c r="I99" s="21">
        <f t="shared" si="41"/>
        <v>397941.51631772186</v>
      </c>
      <c r="J99" s="21">
        <f t="shared" si="41"/>
        <v>80352.560883842641</v>
      </c>
      <c r="K99" s="21">
        <f t="shared" si="41"/>
        <v>73070.430843911643</v>
      </c>
      <c r="L99" s="21">
        <f t="shared" si="41"/>
        <v>76071.952239585444</v>
      </c>
      <c r="M99" s="21">
        <f t="shared" si="41"/>
        <v>80446.34099965643</v>
      </c>
      <c r="N99" s="21">
        <f t="shared" si="41"/>
        <v>88000.231350725706</v>
      </c>
      <c r="O99" s="148">
        <f t="shared" si="41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86</v>
      </c>
      <c r="B100" s="31" t="s">
        <v>87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2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3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4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2"/>
        <v>0</v>
      </c>
      <c r="J101" s="16"/>
      <c r="K101" s="16"/>
      <c r="L101" s="16"/>
      <c r="M101" s="16"/>
      <c r="N101" s="16"/>
      <c r="O101" s="136">
        <f t="shared" si="43"/>
        <v>0</v>
      </c>
      <c r="P101" s="15"/>
      <c r="Q101" s="16"/>
      <c r="R101" s="16"/>
      <c r="S101" s="16"/>
      <c r="T101" s="16"/>
      <c r="U101" s="66"/>
      <c r="W101" s="136">
        <f t="shared" si="44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2"/>
        <v>0</v>
      </c>
      <c r="J102" s="16"/>
      <c r="K102" s="16"/>
      <c r="L102" s="16"/>
      <c r="M102" s="16"/>
      <c r="N102" s="16"/>
      <c r="O102" s="136">
        <f t="shared" si="43"/>
        <v>0</v>
      </c>
      <c r="P102" s="15"/>
      <c r="Q102" s="16"/>
      <c r="R102" s="16"/>
      <c r="S102" s="16"/>
      <c r="T102" s="16"/>
      <c r="U102" s="66"/>
      <c r="W102" s="136">
        <f t="shared" si="44"/>
        <v>0</v>
      </c>
      <c r="X102" s="15"/>
      <c r="Y102" s="16"/>
      <c r="Z102" s="16"/>
      <c r="AA102" s="16"/>
      <c r="AB102" s="16"/>
    </row>
    <row r="103" spans="1:28" collapsed="1" x14ac:dyDescent="0.2">
      <c r="A103" s="5" t="s">
        <v>88</v>
      </c>
      <c r="B103" s="16" t="s">
        <v>89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2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3"/>
        <v>24569.145650114882</v>
      </c>
      <c r="P103" s="15">
        <v>4358.4780000000001</v>
      </c>
      <c r="Q103" s="16">
        <f>P103*1.06</f>
        <v>4619.98668</v>
      </c>
      <c r="R103" s="16">
        <f t="shared" ref="R103:T105" si="45">Q103*1.06</f>
        <v>4897.1858808000006</v>
      </c>
      <c r="S103" s="16">
        <f t="shared" si="45"/>
        <v>5191.0170336480005</v>
      </c>
      <c r="T103" s="16">
        <f t="shared" si="45"/>
        <v>5502.4780556668811</v>
      </c>
      <c r="U103" s="66"/>
      <c r="W103" s="136">
        <f t="shared" si="44"/>
        <v>24569.145650114882</v>
      </c>
      <c r="X103" s="15">
        <v>4358.4780000000001</v>
      </c>
      <c r="Y103" s="16">
        <f>X103*1.06</f>
        <v>4619.98668</v>
      </c>
      <c r="Z103" s="16">
        <f t="shared" ref="Z103:AB105" si="46">Y103*1.06</f>
        <v>4897.1858808000006</v>
      </c>
      <c r="AA103" s="16">
        <f t="shared" si="46"/>
        <v>5191.0170336480005</v>
      </c>
      <c r="AB103" s="16">
        <f t="shared" si="46"/>
        <v>5502.4780556668811</v>
      </c>
    </row>
    <row r="104" spans="1:28" ht="31.5" x14ac:dyDescent="0.2">
      <c r="A104" s="5" t="s">
        <v>90</v>
      </c>
      <c r="B104" s="13" t="s">
        <v>91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2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3"/>
        <v>15302.565291075203</v>
      </c>
      <c r="P104" s="15">
        <v>2714.62</v>
      </c>
      <c r="Q104" s="16">
        <f>P104*1.06</f>
        <v>2877.4972000000002</v>
      </c>
      <c r="R104" s="16">
        <f t="shared" si="45"/>
        <v>3050.1470320000003</v>
      </c>
      <c r="S104" s="16">
        <f t="shared" si="45"/>
        <v>3233.1558539200005</v>
      </c>
      <c r="T104" s="16">
        <f t="shared" si="45"/>
        <v>3427.1452051552005</v>
      </c>
      <c r="U104" s="66"/>
      <c r="W104" s="136">
        <f t="shared" si="44"/>
        <v>15302.565291075203</v>
      </c>
      <c r="X104" s="15">
        <v>2714.62</v>
      </c>
      <c r="Y104" s="16">
        <f>X104*1.06</f>
        <v>2877.4972000000002</v>
      </c>
      <c r="Z104" s="16">
        <f t="shared" si="46"/>
        <v>3050.1470320000003</v>
      </c>
      <c r="AA104" s="16">
        <f t="shared" si="46"/>
        <v>3233.1558539200005</v>
      </c>
      <c r="AB104" s="16">
        <f t="shared" si="46"/>
        <v>3427.1452051552005</v>
      </c>
    </row>
    <row r="105" spans="1:28" x14ac:dyDescent="0.2">
      <c r="A105" s="5" t="s">
        <v>92</v>
      </c>
      <c r="B105" s="16" t="s">
        <v>204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2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3"/>
        <v>7116.1928704955208</v>
      </c>
      <c r="P105" s="15">
        <v>1262.3869999999999</v>
      </c>
      <c r="Q105" s="16">
        <f>P105*1.06</f>
        <v>1338.13022</v>
      </c>
      <c r="R105" s="16">
        <f t="shared" si="45"/>
        <v>1418.4180332000001</v>
      </c>
      <c r="S105" s="16">
        <f t="shared" si="45"/>
        <v>1503.5231151920002</v>
      </c>
      <c r="T105" s="16">
        <f t="shared" si="45"/>
        <v>1593.7345021035203</v>
      </c>
      <c r="U105" s="66"/>
      <c r="W105" s="136">
        <f t="shared" si="44"/>
        <v>7116.1928704955208</v>
      </c>
      <c r="X105" s="15">
        <v>1262.3869999999999</v>
      </c>
      <c r="Y105" s="16">
        <f>X105*1.06</f>
        <v>1338.13022</v>
      </c>
      <c r="Z105" s="16">
        <f t="shared" si="46"/>
        <v>1418.4180332000001</v>
      </c>
      <c r="AA105" s="16">
        <f t="shared" si="46"/>
        <v>1503.5231151920002</v>
      </c>
      <c r="AB105" s="16">
        <f t="shared" si="46"/>
        <v>1593.7345021035203</v>
      </c>
    </row>
    <row r="106" spans="1:28" x14ac:dyDescent="0.2">
      <c r="A106" s="5" t="s">
        <v>93</v>
      </c>
      <c r="B106" s="16" t="s">
        <v>206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2"/>
        <v>0</v>
      </c>
      <c r="J106" s="16"/>
      <c r="K106" s="16"/>
      <c r="L106" s="16"/>
      <c r="M106" s="16"/>
      <c r="N106" s="16"/>
      <c r="O106" s="136">
        <f t="shared" si="43"/>
        <v>0</v>
      </c>
      <c r="P106" s="132"/>
      <c r="Q106" s="16"/>
      <c r="R106" s="16"/>
      <c r="S106" s="16"/>
      <c r="T106" s="16"/>
      <c r="U106" s="66"/>
      <c r="W106" s="136">
        <f t="shared" si="44"/>
        <v>0</v>
      </c>
      <c r="X106" s="132"/>
      <c r="Y106" s="16"/>
      <c r="Z106" s="16"/>
      <c r="AA106" s="16"/>
      <c r="AB106" s="16"/>
    </row>
    <row r="107" spans="1:28" x14ac:dyDescent="0.2">
      <c r="A107" s="5" t="s">
        <v>94</v>
      </c>
      <c r="B107" s="16" t="s">
        <v>43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2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3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4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x14ac:dyDescent="0.2">
      <c r="A108" s="5" t="s">
        <v>95</v>
      </c>
      <c r="B108" s="16" t="s">
        <v>219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2"/>
        <v>9609.67</v>
      </c>
      <c r="J108" s="16">
        <v>9609.67</v>
      </c>
      <c r="K108" s="16"/>
      <c r="L108" s="16"/>
      <c r="M108" s="16"/>
      <c r="N108" s="16"/>
      <c r="O108" s="136">
        <f t="shared" si="43"/>
        <v>5999</v>
      </c>
      <c r="P108" s="15">
        <v>5999</v>
      </c>
      <c r="Q108" s="124" t="s">
        <v>141</v>
      </c>
      <c r="R108" s="16"/>
      <c r="S108" s="16"/>
      <c r="T108" s="16"/>
      <c r="U108" s="66"/>
      <c r="W108" s="136">
        <f t="shared" si="44"/>
        <v>5999</v>
      </c>
      <c r="X108" s="15">
        <v>5999</v>
      </c>
      <c r="Y108" s="124" t="s">
        <v>141</v>
      </c>
      <c r="Z108" s="16"/>
      <c r="AA108" s="16"/>
      <c r="AB108" s="16"/>
    </row>
    <row r="109" spans="1:28" x14ac:dyDescent="0.2">
      <c r="A109" s="5" t="s">
        <v>220</v>
      </c>
      <c r="B109" s="16" t="s">
        <v>221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2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3"/>
        <v>1378</v>
      </c>
      <c r="P109" s="132">
        <f>1300*1.06</f>
        <v>1378</v>
      </c>
      <c r="Q109" s="124" t="s">
        <v>141</v>
      </c>
      <c r="R109" s="16"/>
      <c r="S109" s="16"/>
      <c r="T109" s="16"/>
      <c r="U109" s="66"/>
      <c r="W109" s="136">
        <f t="shared" si="44"/>
        <v>1378</v>
      </c>
      <c r="X109" s="132">
        <f>1300*1.06</f>
        <v>1378</v>
      </c>
      <c r="Y109" s="124" t="s">
        <v>141</v>
      </c>
      <c r="Z109" s="16"/>
      <c r="AA109" s="16"/>
      <c r="AB109" s="16"/>
    </row>
    <row r="110" spans="1:28" x14ac:dyDescent="0.2">
      <c r="A110" s="5" t="s">
        <v>222</v>
      </c>
      <c r="B110" s="16" t="s">
        <v>223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2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3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47">Q110*1.06</f>
        <v>618.62633516960022</v>
      </c>
      <c r="S110" s="16">
        <f t="shared" si="47"/>
        <v>655.74391527977627</v>
      </c>
      <c r="T110" s="16">
        <f t="shared" si="47"/>
        <v>695.08855019656289</v>
      </c>
      <c r="U110" s="66"/>
      <c r="W110" s="136">
        <f t="shared" si="44"/>
        <v>3103.6437868059402</v>
      </c>
      <c r="X110" s="132">
        <f>490.01*1.06*1.06</f>
        <v>550.57523600000013</v>
      </c>
      <c r="Y110" s="16">
        <f>X110*1.06</f>
        <v>583.6097501600002</v>
      </c>
      <c r="Z110" s="16">
        <f t="shared" ref="Z110:AB111" si="48">Y110*1.06</f>
        <v>618.62633516960022</v>
      </c>
      <c r="AA110" s="16">
        <f t="shared" si="48"/>
        <v>655.74391527977627</v>
      </c>
      <c r="AB110" s="16">
        <f t="shared" si="48"/>
        <v>695.08855019656289</v>
      </c>
    </row>
    <row r="111" spans="1:28" x14ac:dyDescent="0.2">
      <c r="A111" s="5" t="s">
        <v>224</v>
      </c>
      <c r="B111" s="13" t="s">
        <v>225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2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3"/>
        <v>1766.5521918047998</v>
      </c>
      <c r="P111" s="15">
        <v>313.38</v>
      </c>
      <c r="Q111" s="16">
        <f>P111*1.06</f>
        <v>332.18279999999999</v>
      </c>
      <c r="R111" s="16">
        <f t="shared" si="47"/>
        <v>352.11376799999999</v>
      </c>
      <c r="S111" s="16">
        <f t="shared" si="47"/>
        <v>373.24059407999999</v>
      </c>
      <c r="T111" s="16">
        <f t="shared" si="47"/>
        <v>395.63502972480001</v>
      </c>
      <c r="U111" s="66"/>
      <c r="W111" s="136">
        <f t="shared" si="44"/>
        <v>1766.5521918047998</v>
      </c>
      <c r="X111" s="15">
        <v>313.38</v>
      </c>
      <c r="Y111" s="16">
        <f>X111*1.06</f>
        <v>332.18279999999999</v>
      </c>
      <c r="Z111" s="16">
        <f t="shared" si="48"/>
        <v>352.11376799999999</v>
      </c>
      <c r="AA111" s="16">
        <f t="shared" si="48"/>
        <v>373.24059407999999</v>
      </c>
      <c r="AB111" s="16">
        <f t="shared" si="48"/>
        <v>395.63502972480001</v>
      </c>
    </row>
    <row r="112" spans="1:28" hidden="1" x14ac:dyDescent="0.2">
      <c r="A112" s="5" t="s">
        <v>226</v>
      </c>
      <c r="B112" s="16" t="s">
        <v>67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2"/>
        <v>0</v>
      </c>
      <c r="J112" s="16"/>
      <c r="K112" s="16"/>
      <c r="L112" s="16"/>
      <c r="M112" s="16"/>
      <c r="N112" s="16"/>
      <c r="O112" s="136">
        <f t="shared" si="43"/>
        <v>0</v>
      </c>
      <c r="P112" s="15"/>
      <c r="Q112" s="16"/>
      <c r="R112" s="16"/>
      <c r="S112" s="16"/>
      <c r="T112" s="16"/>
      <c r="U112" s="66"/>
      <c r="W112" s="136">
        <f t="shared" si="44"/>
        <v>0</v>
      </c>
      <c r="X112" s="15"/>
      <c r="Y112" s="16"/>
      <c r="Z112" s="16"/>
      <c r="AA112" s="16"/>
      <c r="AB112" s="16"/>
    </row>
    <row r="113" spans="1:28" x14ac:dyDescent="0.2">
      <c r="A113" s="5" t="s">
        <v>227</v>
      </c>
      <c r="B113" s="21" t="s">
        <v>96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49">G114+G115+G116+G117+G118+G119+G120</f>
        <v>8555.8919999999998</v>
      </c>
      <c r="H113" s="15"/>
      <c r="I113" s="16">
        <f t="shared" si="42"/>
        <v>53989.107132904501</v>
      </c>
      <c r="J113" s="12">
        <f t="shared" si="49"/>
        <v>9512.700390297523</v>
      </c>
      <c r="K113" s="12">
        <f t="shared" si="49"/>
        <v>10000.361816189779</v>
      </c>
      <c r="L113" s="12">
        <f t="shared" si="49"/>
        <v>10767.059610851637</v>
      </c>
      <c r="M113" s="12">
        <f t="shared" si="49"/>
        <v>11461.058485845964</v>
      </c>
      <c r="N113" s="12">
        <f t="shared" si="49"/>
        <v>12247.926829719594</v>
      </c>
      <c r="O113" s="148">
        <f t="shared" si="43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4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x14ac:dyDescent="0.2">
      <c r="A114" s="5" t="s">
        <v>97</v>
      </c>
      <c r="B114" s="13" t="s">
        <v>98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2"/>
        <v>0</v>
      </c>
      <c r="J114" s="16"/>
      <c r="K114" s="16"/>
      <c r="L114" s="16"/>
      <c r="M114" s="16"/>
      <c r="N114" s="16"/>
      <c r="O114" s="136">
        <f t="shared" si="43"/>
        <v>0</v>
      </c>
      <c r="P114" s="15"/>
      <c r="Q114" s="16"/>
      <c r="R114" s="16"/>
      <c r="S114" s="16"/>
      <c r="T114" s="16"/>
      <c r="U114" s="66"/>
      <c r="W114" s="136">
        <f t="shared" si="44"/>
        <v>0</v>
      </c>
      <c r="X114" s="15"/>
      <c r="Y114" s="16"/>
      <c r="Z114" s="16"/>
      <c r="AA114" s="16"/>
      <c r="AB114" s="16"/>
    </row>
    <row r="115" spans="1:28" x14ac:dyDescent="0.2">
      <c r="A115" s="5" t="s">
        <v>99</v>
      </c>
      <c r="B115" s="13" t="s">
        <v>202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2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3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0">Q115*1.06</f>
        <v>1943.5580303808006</v>
      </c>
      <c r="S115" s="16">
        <f t="shared" si="50"/>
        <v>2060.1715122036485</v>
      </c>
      <c r="T115" s="16">
        <f t="shared" si="50"/>
        <v>2183.7818029358673</v>
      </c>
      <c r="U115" s="66"/>
      <c r="W115" s="136">
        <f t="shared" si="44"/>
        <v>9750.8163852003163</v>
      </c>
      <c r="X115" s="119">
        <f>1539.48*1.06*1.06</f>
        <v>1729.7597280000002</v>
      </c>
      <c r="Y115" s="16">
        <f>X115*1.06</f>
        <v>1833.5453116800004</v>
      </c>
      <c r="Z115" s="16">
        <f t="shared" ref="Z115:AB117" si="51">Y115*1.06</f>
        <v>1943.5580303808006</v>
      </c>
      <c r="AA115" s="16">
        <f t="shared" si="51"/>
        <v>2060.1715122036485</v>
      </c>
      <c r="AB115" s="16">
        <f t="shared" si="51"/>
        <v>2183.7818029358673</v>
      </c>
    </row>
    <row r="116" spans="1:28" x14ac:dyDescent="0.2">
      <c r="A116" s="5" t="s">
        <v>100</v>
      </c>
      <c r="B116" s="25" t="s">
        <v>101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2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3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0"/>
        <v>723.82096538463998</v>
      </c>
      <c r="S116" s="16">
        <f t="shared" si="50"/>
        <v>767.25022330771844</v>
      </c>
      <c r="T116" s="16">
        <f t="shared" si="50"/>
        <v>813.28523670618154</v>
      </c>
      <c r="U116" s="66"/>
      <c r="W116" s="136">
        <f t="shared" si="44"/>
        <v>6394.148822802631</v>
      </c>
      <c r="X116" s="15">
        <f>N116*1.06*1.06</f>
        <v>1134.2989849865153</v>
      </c>
      <c r="Y116" s="16">
        <f>X116*1.06</f>
        <v>1202.3569240857062</v>
      </c>
      <c r="Z116" s="16">
        <f t="shared" si="51"/>
        <v>1274.4983395308486</v>
      </c>
      <c r="AA116" s="16">
        <f t="shared" si="51"/>
        <v>1350.9682399026997</v>
      </c>
      <c r="AB116" s="16">
        <f t="shared" si="51"/>
        <v>1432.0263342968617</v>
      </c>
    </row>
    <row r="117" spans="1:28" x14ac:dyDescent="0.2">
      <c r="A117" s="5" t="s">
        <v>102</v>
      </c>
      <c r="B117" s="16" t="s">
        <v>103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2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0"/>
        <v>1447.2732874969604</v>
      </c>
      <c r="S117" s="16">
        <f t="shared" si="50"/>
        <v>1534.1096847467782</v>
      </c>
      <c r="T117" s="16">
        <f t="shared" si="50"/>
        <v>1626.156265831585</v>
      </c>
      <c r="U117" s="66"/>
      <c r="W117" s="136"/>
      <c r="X117" s="16">
        <f>N117*1.06*1.06</f>
        <v>4805.2492311722781</v>
      </c>
      <c r="Y117" s="16">
        <f>X117*1.06</f>
        <v>5093.5641850426155</v>
      </c>
      <c r="Z117" s="16">
        <f t="shared" si="51"/>
        <v>5399.1780361451729</v>
      </c>
      <c r="AA117" s="16">
        <f t="shared" si="51"/>
        <v>5723.1287183138838</v>
      </c>
      <c r="AB117" s="16">
        <f t="shared" si="51"/>
        <v>6066.5164414127175</v>
      </c>
    </row>
    <row r="118" spans="1:28" x14ac:dyDescent="0.2">
      <c r="A118" s="5" t="s">
        <v>104</v>
      </c>
      <c r="B118" s="16" t="s">
        <v>105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2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3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x14ac:dyDescent="0.2">
      <c r="A119" s="5" t="s">
        <v>106</v>
      </c>
      <c r="B119" s="16" t="s">
        <v>107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2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2">Q119*1.06</f>
        <v>965.75667200000009</v>
      </c>
      <c r="S119" s="16">
        <f t="shared" si="52"/>
        <v>1023.7020723200002</v>
      </c>
      <c r="T119" s="16">
        <f t="shared" si="52"/>
        <v>1085.1241966592002</v>
      </c>
      <c r="U119" s="66"/>
      <c r="W119" s="136"/>
      <c r="X119" s="119">
        <v>859.52</v>
      </c>
      <c r="Y119" s="16">
        <f>X119*1.06</f>
        <v>911.09120000000007</v>
      </c>
      <c r="Z119" s="16">
        <f t="shared" ref="Z119:AB120" si="53">Y119*1.06</f>
        <v>965.75667200000009</v>
      </c>
      <c r="AA119" s="16">
        <f t="shared" si="53"/>
        <v>1023.7020723200002</v>
      </c>
      <c r="AB119" s="16">
        <f t="shared" si="53"/>
        <v>1085.1241966592002</v>
      </c>
    </row>
    <row r="120" spans="1:28" x14ac:dyDescent="0.2">
      <c r="A120" s="5" t="s">
        <v>108</v>
      </c>
      <c r="B120" s="16" t="s">
        <v>109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2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2"/>
        <v>364.48460400000005</v>
      </c>
      <c r="S120" s="16">
        <f t="shared" si="52"/>
        <v>386.35368024000007</v>
      </c>
      <c r="T120" s="16">
        <f t="shared" si="52"/>
        <v>409.53490105440011</v>
      </c>
      <c r="U120" s="66"/>
      <c r="W120" s="136"/>
      <c r="X120" s="15">
        <v>324.39</v>
      </c>
      <c r="Y120" s="16">
        <f>X120*1.06</f>
        <v>343.85340000000002</v>
      </c>
      <c r="Z120" s="16">
        <f t="shared" si="53"/>
        <v>364.48460400000005</v>
      </c>
      <c r="AA120" s="16">
        <f t="shared" si="53"/>
        <v>386.35368024000007</v>
      </c>
      <c r="AB120" s="16">
        <f t="shared" si="53"/>
        <v>409.53490105440011</v>
      </c>
    </row>
    <row r="121" spans="1:28" s="2" customFormat="1" ht="31.5" x14ac:dyDescent="0.2">
      <c r="A121" s="7" t="s">
        <v>199</v>
      </c>
      <c r="B121" s="21" t="s">
        <v>110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2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111</v>
      </c>
      <c r="B122" s="20" t="s">
        <v>112</v>
      </c>
      <c r="C122" s="14" t="s">
        <v>1</v>
      </c>
      <c r="D122" s="10" t="s">
        <v>2</v>
      </c>
      <c r="E122" s="134">
        <v>1716695.49</v>
      </c>
      <c r="F122" s="11">
        <f t="shared" ref="F122:T122" si="54">F8+F84</f>
        <v>2082625.48694</v>
      </c>
      <c r="G122" s="11">
        <f t="shared" si="54"/>
        <v>2140676.4469999997</v>
      </c>
      <c r="H122" s="11">
        <f>1053292.07+323800+696578.8</f>
        <v>2073670.87</v>
      </c>
      <c r="I122" s="11">
        <f t="shared" si="54"/>
        <v>24892879.242495053</v>
      </c>
      <c r="J122" s="11">
        <f t="shared" si="54"/>
        <v>4033478.4947292558</v>
      </c>
      <c r="K122" s="11">
        <f t="shared" si="54"/>
        <v>4492082.0371057801</v>
      </c>
      <c r="L122" s="11">
        <f t="shared" si="54"/>
        <v>4905563.4353519948</v>
      </c>
      <c r="M122" s="11">
        <f t="shared" si="54"/>
        <v>5434021.5302000716</v>
      </c>
      <c r="N122" s="11">
        <f t="shared" si="54"/>
        <v>6029728.301107958</v>
      </c>
      <c r="O122" s="104">
        <f t="shared" si="54"/>
        <v>11285083.635795787</v>
      </c>
      <c r="P122" s="11">
        <f t="shared" si="54"/>
        <v>2419054.0709516793</v>
      </c>
      <c r="Q122" s="11">
        <f t="shared" si="54"/>
        <v>2665840.7666426497</v>
      </c>
      <c r="R122" s="11">
        <f t="shared" si="54"/>
        <v>2852013.5804004488</v>
      </c>
      <c r="S122" s="11">
        <f t="shared" si="54"/>
        <v>3083176.5243163933</v>
      </c>
      <c r="T122" s="11">
        <f t="shared" si="54"/>
        <v>3372979.2486380348</v>
      </c>
      <c r="U122" s="66"/>
      <c r="W122" s="104">
        <f t="shared" ref="W122:AB122" si="55">W8+W84</f>
        <v>11434201.200712649</v>
      </c>
      <c r="X122" s="11">
        <f t="shared" si="55"/>
        <v>2441863.3062599972</v>
      </c>
      <c r="Y122" s="11">
        <f t="shared" si="55"/>
        <v>2691995.4738894664</v>
      </c>
      <c r="Z122" s="11">
        <f t="shared" si="55"/>
        <v>2882068.4763020743</v>
      </c>
      <c r="AA122" s="11">
        <f t="shared" si="55"/>
        <v>3117658.7625921168</v>
      </c>
      <c r="AB122" s="11">
        <f t="shared" si="55"/>
        <v>3410405.5244303015</v>
      </c>
    </row>
    <row r="123" spans="1:28" s="55" customFormat="1" x14ac:dyDescent="0.2">
      <c r="A123" s="52" t="s">
        <v>113</v>
      </c>
      <c r="B123" s="53" t="s">
        <v>114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115</v>
      </c>
      <c r="B124" s="20" t="s">
        <v>116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117</v>
      </c>
      <c r="B125" s="20" t="s">
        <v>228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2645755.2462599971</v>
      </c>
      <c r="Y125" s="12">
        <f>Y122+Y123</f>
        <v>2891637.4338894663</v>
      </c>
      <c r="Z125" s="12">
        <f>Z122+Z123</f>
        <v>3056539.5363020743</v>
      </c>
      <c r="AA125" s="12">
        <f>AA122+AA123</f>
        <v>3313232.0325921169</v>
      </c>
      <c r="AB125" s="12">
        <f>AB122+AB123</f>
        <v>3451033.7444303017</v>
      </c>
    </row>
    <row r="126" spans="1:28" s="22" customFormat="1" ht="31.5" x14ac:dyDescent="0.2">
      <c r="A126" s="19" t="s">
        <v>229</v>
      </c>
      <c r="B126" s="20" t="s">
        <v>230</v>
      </c>
      <c r="C126" s="33" t="s">
        <v>231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68" t="s">
        <v>232</v>
      </c>
      <c r="B127" s="370" t="s">
        <v>233</v>
      </c>
      <c r="C127" s="33" t="s">
        <v>234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69"/>
      <c r="B128" s="371"/>
      <c r="C128" s="33" t="s">
        <v>231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235</v>
      </c>
      <c r="B129" s="305" t="s">
        <v>236</v>
      </c>
      <c r="C129" s="306" t="s">
        <v>237</v>
      </c>
      <c r="D129" s="307" t="s">
        <v>2</v>
      </c>
      <c r="E129" s="310">
        <v>1.49</v>
      </c>
      <c r="F129" s="311">
        <f t="shared" ref="F129:T129" si="56">F125/F126</f>
        <v>1.6499999994428611</v>
      </c>
      <c r="G129" s="312">
        <f t="shared" si="56"/>
        <v>1.6723071119474751</v>
      </c>
      <c r="H129" s="313">
        <f>H125/H126</f>
        <v>1.734465375130575</v>
      </c>
      <c r="I129" s="314">
        <f t="shared" si="56"/>
        <v>3.8356240429613662</v>
      </c>
      <c r="J129" s="314">
        <f t="shared" si="56"/>
        <v>3.2397598473922695</v>
      </c>
      <c r="K129" s="314">
        <f t="shared" si="56"/>
        <v>3.5517784373299524</v>
      </c>
      <c r="L129" s="314">
        <f t="shared" si="56"/>
        <v>3.7829906686458883</v>
      </c>
      <c r="M129" s="314">
        <f t="shared" si="56"/>
        <v>4.1154448455094617</v>
      </c>
      <c r="N129" s="314">
        <f t="shared" si="56"/>
        <v>4.457562332893108</v>
      </c>
      <c r="O129" s="315">
        <f t="shared" si="56"/>
        <v>0</v>
      </c>
      <c r="P129" s="316">
        <f t="shared" si="56"/>
        <v>1.9815845786517952</v>
      </c>
      <c r="Q129" s="314">
        <f t="shared" si="56"/>
        <v>2.1464243589388792</v>
      </c>
      <c r="R129" s="314">
        <f t="shared" si="56"/>
        <v>2.2345706843196167</v>
      </c>
      <c r="S129" s="314">
        <f t="shared" si="56"/>
        <v>2.4028330629401649</v>
      </c>
      <c r="T129" s="314">
        <f t="shared" si="56"/>
        <v>2.4769678546743581</v>
      </c>
      <c r="U129" s="308"/>
      <c r="W129" s="315">
        <f t="shared" ref="W129:AB129" si="57">W125/W126</f>
        <v>0</v>
      </c>
      <c r="X129" s="316">
        <f t="shared" si="57"/>
        <v>1.9988165112760596</v>
      </c>
      <c r="Y129" s="314">
        <f t="shared" si="57"/>
        <v>2.1660158575068214</v>
      </c>
      <c r="Z129" s="314">
        <f t="shared" si="57"/>
        <v>2.2567613765853349</v>
      </c>
      <c r="AA129" s="314">
        <f t="shared" si="57"/>
        <v>2.4281033846819202</v>
      </c>
      <c r="AB129" s="314">
        <f t="shared" si="57"/>
        <v>2.5041249554568359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>
        <f>X130+Y130+Z130+AA130+AB130</f>
        <v>0.7701249554568359</v>
      </c>
      <c r="X130" s="317">
        <f>X129-1.734</f>
        <v>0.26481651127605965</v>
      </c>
      <c r="Y130" s="318">
        <f>Y129-X129</f>
        <v>0.16719934623076171</v>
      </c>
      <c r="Z130" s="318">
        <f>Z129-Y129</f>
        <v>9.0745519078513581E-2</v>
      </c>
      <c r="AA130" s="318">
        <f>AA129-Z129</f>
        <v>0.17134200809658529</v>
      </c>
      <c r="AB130" s="318">
        <f>AB129-AA129</f>
        <v>7.602157077491567E-2</v>
      </c>
    </row>
    <row r="131" spans="1:28" s="22" customFormat="1" hidden="1" x14ac:dyDescent="0.2">
      <c r="A131" s="36"/>
      <c r="B131" s="13" t="s">
        <v>238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239</v>
      </c>
      <c r="B132" s="8" t="s">
        <v>240</v>
      </c>
      <c r="C132" s="9" t="s">
        <v>241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242</v>
      </c>
      <c r="B133" s="13" t="s">
        <v>243</v>
      </c>
      <c r="C133" s="14" t="s">
        <v>241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244</v>
      </c>
      <c r="B134" s="13" t="s">
        <v>245</v>
      </c>
      <c r="C134" s="14" t="s">
        <v>241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246</v>
      </c>
      <c r="B135" s="24" t="s">
        <v>252</v>
      </c>
      <c r="C135" s="37" t="s">
        <v>253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65372.267001973509</v>
      </c>
      <c r="Y135" s="21">
        <f>(Y17+Y86)*1000/12/Y132</f>
        <v>69186.751499878548</v>
      </c>
      <c r="Z135" s="21">
        <f>(Z17+Z86)*1000/12/Z132</f>
        <v>72715.489365728834</v>
      </c>
      <c r="AA135" s="21">
        <f>(AA17+AA86)*1000/12/AA132</f>
        <v>76782.191138404029</v>
      </c>
      <c r="AB135" s="21">
        <f>(AB17+AB86)*1000/12/AB132</f>
        <v>81264.196862108569</v>
      </c>
    </row>
    <row r="136" spans="1:28" hidden="1" x14ac:dyDescent="0.2">
      <c r="A136" s="5" t="s">
        <v>254</v>
      </c>
      <c r="B136" s="13" t="s">
        <v>243</v>
      </c>
      <c r="C136" s="6" t="s">
        <v>253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255</v>
      </c>
      <c r="B137" s="13" t="s">
        <v>245</v>
      </c>
      <c r="C137" s="6" t="s">
        <v>253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87480.636560130442</v>
      </c>
      <c r="Y137" s="16">
        <f>Y86*1000/12/Y134</f>
        <v>92729.474753738279</v>
      </c>
      <c r="Z137" s="16">
        <f>Z86*1000/12/Z134</f>
        <v>98293.243238962576</v>
      </c>
      <c r="AA137" s="16">
        <f>AA86*1000/12/AA134</f>
        <v>104190.83783330033</v>
      </c>
      <c r="AB137" s="16">
        <f>AB86*1000/12/AB134</f>
        <v>110442.28810329837</v>
      </c>
    </row>
    <row r="138" spans="1:28" s="2" customFormat="1" ht="47.25" hidden="1" x14ac:dyDescent="0.2">
      <c r="A138" s="7" t="s">
        <v>256</v>
      </c>
      <c r="B138" s="24" t="s">
        <v>257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258</v>
      </c>
      <c r="B139" s="24" t="s">
        <v>259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260</v>
      </c>
      <c r="B140" s="24" t="s">
        <v>261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58">G25</f>
        <v>93616.365999999995</v>
      </c>
      <c r="H140" s="21"/>
      <c r="I140" s="21">
        <f t="shared" si="58"/>
        <v>1667189.0600838566</v>
      </c>
      <c r="J140" s="21">
        <f t="shared" si="58"/>
        <v>272764.4323708351</v>
      </c>
      <c r="K140" s="21">
        <f t="shared" si="58"/>
        <v>335013.72199742129</v>
      </c>
      <c r="L140" s="21">
        <f t="shared" si="58"/>
        <v>318175.86927500006</v>
      </c>
      <c r="M140" s="21">
        <f t="shared" si="58"/>
        <v>357754.38045310002</v>
      </c>
      <c r="N140" s="21">
        <f t="shared" si="58"/>
        <v>383480.65598750004</v>
      </c>
      <c r="O140" s="148">
        <f t="shared" si="58"/>
        <v>817395.6399999999</v>
      </c>
      <c r="P140" s="12">
        <f t="shared" si="58"/>
        <v>103926.48</v>
      </c>
      <c r="Q140" s="21">
        <f t="shared" si="58"/>
        <v>163401.60999999999</v>
      </c>
      <c r="R140" s="21">
        <f t="shared" si="58"/>
        <v>172872.08</v>
      </c>
      <c r="S140" s="21">
        <f t="shared" si="58"/>
        <v>183177.68</v>
      </c>
      <c r="T140" s="21">
        <f t="shared" si="58"/>
        <v>194017.79</v>
      </c>
      <c r="U140" s="111"/>
      <c r="W140" s="148">
        <f t="shared" ref="W140:AB140" si="59">W25</f>
        <v>817395.6399999999</v>
      </c>
      <c r="X140" s="12">
        <f t="shared" si="59"/>
        <v>103926.48</v>
      </c>
      <c r="Y140" s="21">
        <f t="shared" si="59"/>
        <v>163401.60999999999</v>
      </c>
      <c r="Z140" s="21">
        <f t="shared" si="59"/>
        <v>172872.08</v>
      </c>
      <c r="AA140" s="21">
        <f t="shared" si="59"/>
        <v>183177.68</v>
      </c>
      <c r="AB140" s="21">
        <f t="shared" si="59"/>
        <v>194017.79</v>
      </c>
    </row>
    <row r="141" spans="1:28" hidden="1" x14ac:dyDescent="0.2">
      <c r="A141" s="5" t="s">
        <v>262</v>
      </c>
      <c r="B141" s="13" t="s">
        <v>263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0">G140-G144</f>
        <v>84260.525999999998</v>
      </c>
      <c r="H141" s="16"/>
      <c r="I141" s="16">
        <f t="shared" si="60"/>
        <v>1622213.8142438566</v>
      </c>
      <c r="J141" s="16">
        <f t="shared" si="60"/>
        <v>266448.86437083507</v>
      </c>
      <c r="K141" s="16">
        <f t="shared" si="60"/>
        <v>326874.39891742129</v>
      </c>
      <c r="L141" s="16">
        <f t="shared" si="60"/>
        <v>309206.41927500005</v>
      </c>
      <c r="M141" s="16">
        <f t="shared" si="60"/>
        <v>348328.0881931</v>
      </c>
      <c r="N141" s="16">
        <f t="shared" si="60"/>
        <v>371356.04348750005</v>
      </c>
      <c r="O141" s="136">
        <f t="shared" si="60"/>
        <v>772420.39415999991</v>
      </c>
      <c r="P141" s="15">
        <f t="shared" si="60"/>
        <v>97610.911999999997</v>
      </c>
      <c r="Q141" s="16">
        <f t="shared" si="60"/>
        <v>155262.28691999998</v>
      </c>
      <c r="R141" s="16">
        <f t="shared" si="60"/>
        <v>163902.62999999998</v>
      </c>
      <c r="S141" s="16">
        <f t="shared" si="60"/>
        <v>173751.38774000001</v>
      </c>
      <c r="T141" s="16">
        <f t="shared" si="60"/>
        <v>181893.17750000002</v>
      </c>
      <c r="W141" s="136">
        <f t="shared" ref="W141:AB141" si="61">W140-W144</f>
        <v>772420.39415999991</v>
      </c>
      <c r="X141" s="15">
        <f t="shared" si="61"/>
        <v>97610.911999999997</v>
      </c>
      <c r="Y141" s="16">
        <f t="shared" si="61"/>
        <v>155262.28691999998</v>
      </c>
      <c r="Z141" s="16">
        <f t="shared" si="61"/>
        <v>163902.62999999998</v>
      </c>
      <c r="AA141" s="16">
        <f t="shared" si="61"/>
        <v>173751.38774000001</v>
      </c>
      <c r="AB141" s="16">
        <f t="shared" si="61"/>
        <v>181893.17750000002</v>
      </c>
    </row>
    <row r="142" spans="1:28" hidden="1" x14ac:dyDescent="0.2">
      <c r="A142" s="5" t="s">
        <v>264</v>
      </c>
      <c r="B142" s="13" t="s">
        <v>265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266</v>
      </c>
      <c r="B143" s="13" t="s">
        <v>267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268</v>
      </c>
      <c r="B144" s="13" t="s">
        <v>269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66" t="s">
        <v>270</v>
      </c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</row>
    <row r="148" spans="1:28" ht="110.25" hidden="1" x14ac:dyDescent="0.2">
      <c r="A148" s="38">
        <v>9</v>
      </c>
      <c r="B148" s="39" t="s">
        <v>247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47.25" hidden="1" x14ac:dyDescent="0.2">
      <c r="A149" s="38">
        <v>10</v>
      </c>
      <c r="B149" s="39" t="s">
        <v>248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118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119</v>
      </c>
      <c r="B151" s="39" t="s">
        <v>120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121</v>
      </c>
      <c r="B152" s="39" t="s">
        <v>122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123</v>
      </c>
      <c r="B153" s="39" t="s">
        <v>124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125</v>
      </c>
      <c r="B154" s="39" t="s">
        <v>126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127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128</v>
      </c>
      <c r="C156" s="40" t="s">
        <v>231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129</v>
      </c>
      <c r="C157" s="40" t="s">
        <v>130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131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65"/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15.272001803694323</v>
      </c>
      <c r="Y184" s="158">
        <f>AB129-1.734</f>
        <v>0.7701249554568359</v>
      </c>
    </row>
    <row r="185" spans="10:28" hidden="1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A161:N161"/>
    <mergeCell ref="H6:H7"/>
    <mergeCell ref="I6:N6"/>
    <mergeCell ref="A127:A128"/>
    <mergeCell ref="B127:B128"/>
    <mergeCell ref="E6:E7"/>
    <mergeCell ref="F6:F7"/>
    <mergeCell ref="G6:G7"/>
    <mergeCell ref="A147:N147"/>
    <mergeCell ref="O6:T6"/>
    <mergeCell ref="Y1:AB1"/>
    <mergeCell ref="L2:N2"/>
    <mergeCell ref="R2:T2"/>
    <mergeCell ref="Z2:AB2"/>
    <mergeCell ref="K1:N1"/>
    <mergeCell ref="Q1:T1"/>
    <mergeCell ref="U6:U7"/>
    <mergeCell ref="W6:AB6"/>
    <mergeCell ref="A3:N3"/>
    <mergeCell ref="A4:N4"/>
    <mergeCell ref="B5:F5"/>
    <mergeCell ref="A6:A7"/>
    <mergeCell ref="B6:B7"/>
    <mergeCell ref="C6:C7"/>
    <mergeCell ref="D6:D7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4"/>
  <sheetViews>
    <sheetView tabSelected="1" zoomScale="134" zoomScaleNormal="134" workbookViewId="0">
      <pane xSplit="3" ySplit="9" topLeftCell="D68" activePane="bottomRight" state="frozen"/>
      <selection pane="topRight" activeCell="E1" sqref="E1"/>
      <selection pane="bottomLeft" activeCell="A6" sqref="A6"/>
      <selection pane="bottomRight" activeCell="G75" sqref="G75"/>
    </sheetView>
  </sheetViews>
  <sheetFormatPr defaultColWidth="7.28515625" defaultRowHeight="12" x14ac:dyDescent="0.2"/>
  <cols>
    <col min="1" max="1" width="7.28515625" style="327" bestFit="1" customWidth="1"/>
    <col min="2" max="2" width="38.7109375" style="328" customWidth="1"/>
    <col min="3" max="3" width="11.28515625" style="328" customWidth="1"/>
    <col min="4" max="4" width="10.7109375" style="329" customWidth="1"/>
    <col min="5" max="5" width="11.28515625" style="329" customWidth="1"/>
    <col min="6" max="6" width="11.42578125" style="329" hidden="1" customWidth="1"/>
    <col min="7" max="7" width="6.28515625" style="329" customWidth="1"/>
    <col min="8" max="8" width="39.7109375" style="329" customWidth="1"/>
    <col min="9" max="9" width="11.28515625" style="329" customWidth="1"/>
    <col min="10" max="10" width="21.5703125" style="329" customWidth="1"/>
    <col min="11" max="11" width="19" style="329" customWidth="1"/>
    <col min="12" max="16384" width="7.28515625" style="329"/>
  </cols>
  <sheetData>
    <row r="1" spans="1:8" ht="20.45" customHeight="1" x14ac:dyDescent="0.2">
      <c r="G1" s="390" t="s">
        <v>300</v>
      </c>
      <c r="H1" s="390"/>
    </row>
    <row r="2" spans="1:8" ht="9.75" customHeight="1" x14ac:dyDescent="0.2">
      <c r="G2" s="390" t="s">
        <v>290</v>
      </c>
      <c r="H2" s="390"/>
    </row>
    <row r="3" spans="1:8" ht="12" customHeight="1" x14ac:dyDescent="0.2">
      <c r="G3" s="390" t="s">
        <v>291</v>
      </c>
      <c r="H3" s="390"/>
    </row>
    <row r="4" spans="1:8" ht="15.6" customHeight="1" x14ac:dyDescent="0.2">
      <c r="A4" s="392" t="s">
        <v>288</v>
      </c>
      <c r="B4" s="392"/>
      <c r="C4" s="392"/>
      <c r="D4" s="392"/>
      <c r="E4" s="392"/>
      <c r="F4" s="392"/>
      <c r="G4" s="392"/>
      <c r="H4" s="392"/>
    </row>
    <row r="5" spans="1:8" ht="15.6" customHeight="1" x14ac:dyDescent="0.2">
      <c r="A5" s="393" t="s">
        <v>289</v>
      </c>
      <c r="B5" s="393"/>
      <c r="C5" s="393"/>
      <c r="D5" s="393"/>
      <c r="E5" s="393"/>
      <c r="F5" s="393"/>
      <c r="G5" s="393"/>
      <c r="H5" s="393"/>
    </row>
    <row r="6" spans="1:8" ht="15.6" customHeight="1" x14ac:dyDescent="0.2">
      <c r="A6" s="393" t="s">
        <v>302</v>
      </c>
      <c r="B6" s="393"/>
      <c r="C6" s="393"/>
      <c r="D6" s="393"/>
      <c r="E6" s="393"/>
      <c r="F6" s="393"/>
      <c r="G6" s="393"/>
      <c r="H6" s="393"/>
    </row>
    <row r="7" spans="1:8" ht="15.6" customHeight="1" x14ac:dyDescent="0.2">
      <c r="A7" s="394" t="s">
        <v>332</v>
      </c>
      <c r="B7" s="394"/>
      <c r="C7" s="394"/>
      <c r="D7" s="394"/>
      <c r="E7" s="394"/>
      <c r="F7" s="394"/>
      <c r="G7" s="394"/>
      <c r="H7" s="394"/>
    </row>
    <row r="8" spans="1:8" ht="40.15" customHeight="1" x14ac:dyDescent="0.2">
      <c r="A8" s="395" t="s">
        <v>161</v>
      </c>
      <c r="B8" s="396" t="s">
        <v>162</v>
      </c>
      <c r="C8" s="391" t="s">
        <v>163</v>
      </c>
      <c r="D8" s="391" t="s">
        <v>314</v>
      </c>
      <c r="E8" s="397" t="s">
        <v>292</v>
      </c>
      <c r="F8" s="391" t="s">
        <v>287</v>
      </c>
      <c r="G8" s="391" t="s">
        <v>294</v>
      </c>
      <c r="H8" s="391" t="s">
        <v>293</v>
      </c>
    </row>
    <row r="9" spans="1:8" ht="28.9" customHeight="1" x14ac:dyDescent="0.2">
      <c r="A9" s="395"/>
      <c r="B9" s="396"/>
      <c r="C9" s="391"/>
      <c r="D9" s="391"/>
      <c r="E9" s="398"/>
      <c r="F9" s="391"/>
      <c r="G9" s="391"/>
      <c r="H9" s="391"/>
    </row>
    <row r="10" spans="1:8" s="334" customFormat="1" ht="24" x14ac:dyDescent="0.2">
      <c r="A10" s="330" t="s">
        <v>174</v>
      </c>
      <c r="B10" s="331" t="s">
        <v>0</v>
      </c>
      <c r="C10" s="332" t="s">
        <v>1</v>
      </c>
      <c r="D10" s="333">
        <v>8358561.653845001</v>
      </c>
      <c r="E10" s="333">
        <v>6681057.9120000005</v>
      </c>
      <c r="F10" s="333">
        <f>D10-E10</f>
        <v>1677503.7418450005</v>
      </c>
      <c r="G10" s="333">
        <f>E10/D10*100</f>
        <v>79.930712826969014</v>
      </c>
      <c r="H10" s="333"/>
    </row>
    <row r="11" spans="1:8" s="334" customFormat="1" ht="16.899999999999999" customHeight="1" x14ac:dyDescent="0.2">
      <c r="A11" s="330" t="s">
        <v>3</v>
      </c>
      <c r="B11" s="335" t="s">
        <v>4</v>
      </c>
      <c r="C11" s="332" t="s">
        <v>1</v>
      </c>
      <c r="D11" s="336">
        <v>2127925.928208</v>
      </c>
      <c r="E11" s="336">
        <v>1011277.9280000001</v>
      </c>
      <c r="F11" s="333">
        <f t="shared" ref="F11:F45" si="0">D11-E11</f>
        <v>1116648.000208</v>
      </c>
      <c r="G11" s="333">
        <f t="shared" ref="G11:G45" si="1">E11/D11*100</f>
        <v>47.524113250108854</v>
      </c>
      <c r="H11" s="337" t="s">
        <v>295</v>
      </c>
    </row>
    <row r="12" spans="1:8" x14ac:dyDescent="0.2">
      <c r="A12" s="330" t="s">
        <v>5</v>
      </c>
      <c r="B12" s="338" t="s">
        <v>6</v>
      </c>
      <c r="C12" s="332" t="s">
        <v>1</v>
      </c>
      <c r="D12" s="339">
        <v>82177</v>
      </c>
      <c r="E12" s="339">
        <v>34033.912000000004</v>
      </c>
      <c r="F12" s="333">
        <f t="shared" si="0"/>
        <v>48143.087999999996</v>
      </c>
      <c r="G12" s="333">
        <f t="shared" si="1"/>
        <v>41.415374131447976</v>
      </c>
      <c r="H12" s="337" t="s">
        <v>295</v>
      </c>
    </row>
    <row r="13" spans="1:8" ht="12.75" customHeight="1" x14ac:dyDescent="0.2">
      <c r="A13" s="330" t="s">
        <v>154</v>
      </c>
      <c r="B13" s="338" t="s">
        <v>10</v>
      </c>
      <c r="C13" s="332" t="s">
        <v>1</v>
      </c>
      <c r="D13" s="339">
        <v>57390.918208000003</v>
      </c>
      <c r="E13" s="339">
        <v>34589.152999999998</v>
      </c>
      <c r="F13" s="333">
        <f t="shared" si="0"/>
        <v>22801.765208000004</v>
      </c>
      <c r="G13" s="333">
        <f t="shared" si="1"/>
        <v>60.269384216226818</v>
      </c>
      <c r="H13" s="337" t="s">
        <v>295</v>
      </c>
    </row>
    <row r="14" spans="1:8" ht="19.149999999999999" customHeight="1" x14ac:dyDescent="0.2">
      <c r="A14" s="330" t="s">
        <v>271</v>
      </c>
      <c r="B14" s="338" t="s">
        <v>14</v>
      </c>
      <c r="C14" s="332" t="s">
        <v>1</v>
      </c>
      <c r="D14" s="339">
        <v>67008.69</v>
      </c>
      <c r="E14" s="339">
        <v>55679.662000000004</v>
      </c>
      <c r="F14" s="333">
        <f t="shared" si="0"/>
        <v>11329.027999999998</v>
      </c>
      <c r="G14" s="333">
        <f t="shared" si="1"/>
        <v>83.093195822810458</v>
      </c>
      <c r="H14" s="337" t="s">
        <v>295</v>
      </c>
    </row>
    <row r="15" spans="1:8" ht="36" x14ac:dyDescent="0.2">
      <c r="A15" s="330" t="s">
        <v>249</v>
      </c>
      <c r="B15" s="339" t="s">
        <v>16</v>
      </c>
      <c r="C15" s="332" t="s">
        <v>1</v>
      </c>
      <c r="D15" s="339">
        <v>1921349.32</v>
      </c>
      <c r="E15" s="339">
        <v>886975.201</v>
      </c>
      <c r="F15" s="333">
        <f t="shared" si="0"/>
        <v>1034374.1190000001</v>
      </c>
      <c r="G15" s="333">
        <f t="shared" si="1"/>
        <v>46.164182211280561</v>
      </c>
      <c r="H15" s="337" t="s">
        <v>295</v>
      </c>
    </row>
    <row r="16" spans="1:8" s="341" customFormat="1" ht="17.45" customHeight="1" x14ac:dyDescent="0.2">
      <c r="A16" s="340" t="s">
        <v>17</v>
      </c>
      <c r="B16" s="337" t="s">
        <v>18</v>
      </c>
      <c r="C16" s="332" t="s">
        <v>1</v>
      </c>
      <c r="D16" s="333">
        <v>3712087.76</v>
      </c>
      <c r="E16" s="333">
        <v>1777220.4620000003</v>
      </c>
      <c r="F16" s="333">
        <f t="shared" si="0"/>
        <v>1934867.2979999995</v>
      </c>
      <c r="G16" s="333">
        <f t="shared" si="1"/>
        <v>47.876574502107147</v>
      </c>
      <c r="H16" s="337" t="s">
        <v>295</v>
      </c>
    </row>
    <row r="17" spans="1:8" s="342" customFormat="1" x14ac:dyDescent="0.2">
      <c r="A17" s="330" t="s">
        <v>19</v>
      </c>
      <c r="B17" s="338" t="s">
        <v>20</v>
      </c>
      <c r="C17" s="332" t="s">
        <v>1</v>
      </c>
      <c r="D17" s="339">
        <v>3259403.04</v>
      </c>
      <c r="E17" s="339">
        <v>1561571.1080000002</v>
      </c>
      <c r="F17" s="333">
        <f t="shared" si="0"/>
        <v>1697831.9319999998</v>
      </c>
      <c r="G17" s="333">
        <f t="shared" si="1"/>
        <v>47.909727297793772</v>
      </c>
      <c r="H17" s="337" t="s">
        <v>295</v>
      </c>
    </row>
    <row r="18" spans="1:8" s="342" customFormat="1" x14ac:dyDescent="0.2">
      <c r="A18" s="330" t="s">
        <v>21</v>
      </c>
      <c r="B18" s="338" t="s">
        <v>273</v>
      </c>
      <c r="C18" s="332" t="s">
        <v>1</v>
      </c>
      <c r="D18" s="339">
        <v>322680.90000000002</v>
      </c>
      <c r="E18" s="339">
        <v>154072.61300000001</v>
      </c>
      <c r="F18" s="333">
        <f t="shared" si="0"/>
        <v>168608.28700000001</v>
      </c>
      <c r="G18" s="333">
        <f t="shared" si="1"/>
        <v>47.747670531475521</v>
      </c>
      <c r="H18" s="337" t="s">
        <v>295</v>
      </c>
    </row>
    <row r="19" spans="1:8" s="342" customFormat="1" ht="24" x14ac:dyDescent="0.2">
      <c r="A19" s="330" t="s">
        <v>23</v>
      </c>
      <c r="B19" s="338" t="s">
        <v>24</v>
      </c>
      <c r="C19" s="332" t="s">
        <v>1</v>
      </c>
      <c r="D19" s="339">
        <v>547.32000000000005</v>
      </c>
      <c r="E19" s="339">
        <v>315.33199999999999</v>
      </c>
      <c r="F19" s="333">
        <f t="shared" si="0"/>
        <v>231.98800000000006</v>
      </c>
      <c r="G19" s="333">
        <f t="shared" si="1"/>
        <v>57.613827377037197</v>
      </c>
      <c r="H19" s="339" t="s">
        <v>299</v>
      </c>
    </row>
    <row r="20" spans="1:8" s="342" customFormat="1" ht="12" customHeight="1" x14ac:dyDescent="0.2">
      <c r="A20" s="330" t="s">
        <v>317</v>
      </c>
      <c r="B20" s="338" t="s">
        <v>274</v>
      </c>
      <c r="C20" s="332" t="s">
        <v>1</v>
      </c>
      <c r="D20" s="339">
        <v>96405.71</v>
      </c>
      <c r="E20" s="339">
        <v>40771.095999999998</v>
      </c>
      <c r="F20" s="333">
        <f t="shared" si="0"/>
        <v>55634.614000000009</v>
      </c>
      <c r="G20" s="333">
        <f t="shared" si="1"/>
        <v>42.291163044180671</v>
      </c>
      <c r="H20" s="339" t="s">
        <v>299</v>
      </c>
    </row>
    <row r="21" spans="1:8" s="342" customFormat="1" ht="12" customHeight="1" x14ac:dyDescent="0.2">
      <c r="A21" s="330" t="s">
        <v>318</v>
      </c>
      <c r="B21" s="338" t="s">
        <v>316</v>
      </c>
      <c r="C21" s="332" t="s">
        <v>1</v>
      </c>
      <c r="D21" s="339">
        <v>33050.79</v>
      </c>
      <c r="E21" s="339">
        <v>20490.312999999998</v>
      </c>
      <c r="F21" s="333">
        <f>D21-E21</f>
        <v>12560.477000000003</v>
      </c>
      <c r="G21" s="333">
        <f>E21/D21*100</f>
        <v>61.996439419451086</v>
      </c>
      <c r="H21" s="339" t="s">
        <v>299</v>
      </c>
    </row>
    <row r="22" spans="1:8" s="334" customFormat="1" ht="19.149999999999999" customHeight="1" x14ac:dyDescent="0.2">
      <c r="A22" s="330" t="s">
        <v>25</v>
      </c>
      <c r="B22" s="338" t="s">
        <v>26</v>
      </c>
      <c r="C22" s="332" t="s">
        <v>1</v>
      </c>
      <c r="D22" s="339">
        <v>2165712.4606369999</v>
      </c>
      <c r="E22" s="339">
        <v>3707407.8880000003</v>
      </c>
      <c r="F22" s="333">
        <f t="shared" si="0"/>
        <v>-1541695.4273630003</v>
      </c>
      <c r="G22" s="333">
        <f t="shared" si="1"/>
        <v>171.18652431401452</v>
      </c>
      <c r="H22" s="343" t="s">
        <v>333</v>
      </c>
    </row>
    <row r="23" spans="1:8" s="334" customFormat="1" ht="12.75" customHeight="1" x14ac:dyDescent="0.2">
      <c r="A23" s="330" t="s">
        <v>29</v>
      </c>
      <c r="B23" s="339" t="s">
        <v>30</v>
      </c>
      <c r="C23" s="332" t="s">
        <v>1</v>
      </c>
      <c r="D23" s="336">
        <v>196339.16500000001</v>
      </c>
      <c r="E23" s="336">
        <v>57353.657999999996</v>
      </c>
      <c r="F23" s="333">
        <f t="shared" si="0"/>
        <v>138985.50700000001</v>
      </c>
      <c r="G23" s="333">
        <f t="shared" si="1"/>
        <v>29.21152180717484</v>
      </c>
      <c r="H23" s="388" t="s">
        <v>301</v>
      </c>
    </row>
    <row r="24" spans="1:8" ht="24" x14ac:dyDescent="0.2">
      <c r="A24" s="330" t="s">
        <v>31</v>
      </c>
      <c r="B24" s="338" t="s">
        <v>272</v>
      </c>
      <c r="C24" s="332" t="s">
        <v>1</v>
      </c>
      <c r="D24" s="336">
        <v>196339.16500000001</v>
      </c>
      <c r="E24" s="336">
        <v>57353.657999999996</v>
      </c>
      <c r="F24" s="333">
        <f t="shared" si="0"/>
        <v>138985.50700000001</v>
      </c>
      <c r="G24" s="333">
        <f t="shared" si="1"/>
        <v>29.21152180717484</v>
      </c>
      <c r="H24" s="389"/>
    </row>
    <row r="25" spans="1:8" s="334" customFormat="1" ht="24" x14ac:dyDescent="0.2">
      <c r="A25" s="330" t="s">
        <v>33</v>
      </c>
      <c r="B25" s="338" t="s">
        <v>34</v>
      </c>
      <c r="C25" s="332" t="s">
        <v>1</v>
      </c>
      <c r="D25" s="336">
        <v>58781.030000000006</v>
      </c>
      <c r="E25" s="336">
        <v>45356.351999999999</v>
      </c>
      <c r="F25" s="333">
        <f t="shared" si="0"/>
        <v>13424.678000000007</v>
      </c>
      <c r="G25" s="333">
        <f t="shared" si="1"/>
        <v>77.161546845980737</v>
      </c>
      <c r="H25" s="337" t="s">
        <v>334</v>
      </c>
    </row>
    <row r="26" spans="1:8" ht="22.15" customHeight="1" x14ac:dyDescent="0.2">
      <c r="A26" s="330" t="s">
        <v>35</v>
      </c>
      <c r="B26" s="338" t="s">
        <v>36</v>
      </c>
      <c r="C26" s="332" t="s">
        <v>1</v>
      </c>
      <c r="D26" s="339">
        <v>10067.26</v>
      </c>
      <c r="E26" s="339">
        <v>6717.5839999999989</v>
      </c>
      <c r="F26" s="333">
        <f t="shared" si="0"/>
        <v>3349.6760000000013</v>
      </c>
      <c r="G26" s="333">
        <f t="shared" si="1"/>
        <v>66.727033969520988</v>
      </c>
      <c r="H26" s="337" t="s">
        <v>335</v>
      </c>
    </row>
    <row r="27" spans="1:8" x14ac:dyDescent="0.2">
      <c r="A27" s="330" t="s">
        <v>303</v>
      </c>
      <c r="B27" s="339" t="s">
        <v>175</v>
      </c>
      <c r="C27" s="332" t="s">
        <v>1</v>
      </c>
      <c r="D27" s="339">
        <v>37421.94</v>
      </c>
      <c r="E27" s="339">
        <v>26736.300999999999</v>
      </c>
      <c r="F27" s="333">
        <f t="shared" si="0"/>
        <v>10685.639000000003</v>
      </c>
      <c r="G27" s="333">
        <f t="shared" si="1"/>
        <v>71.445523668735504</v>
      </c>
      <c r="H27" s="337" t="s">
        <v>336</v>
      </c>
    </row>
    <row r="28" spans="1:8" ht="18.600000000000001" customHeight="1" x14ac:dyDescent="0.2">
      <c r="A28" s="330" t="s">
        <v>304</v>
      </c>
      <c r="B28" s="339" t="s">
        <v>177</v>
      </c>
      <c r="C28" s="332" t="s">
        <v>1</v>
      </c>
      <c r="D28" s="339">
        <v>375.39</v>
      </c>
      <c r="E28" s="339">
        <v>989.44500000000016</v>
      </c>
      <c r="F28" s="333">
        <f t="shared" si="0"/>
        <v>-614.05500000000018</v>
      </c>
      <c r="G28" s="333">
        <f t="shared" si="1"/>
        <v>263.57787900583401</v>
      </c>
      <c r="H28" s="343" t="s">
        <v>337</v>
      </c>
    </row>
    <row r="29" spans="1:8" ht="18.600000000000001" customHeight="1" x14ac:dyDescent="0.2">
      <c r="A29" s="330" t="s">
        <v>305</v>
      </c>
      <c r="B29" s="339" t="s">
        <v>179</v>
      </c>
      <c r="C29" s="332" t="s">
        <v>1</v>
      </c>
      <c r="D29" s="339">
        <v>371.48</v>
      </c>
      <c r="E29" s="339">
        <v>0</v>
      </c>
      <c r="F29" s="333">
        <f t="shared" si="0"/>
        <v>371.48</v>
      </c>
      <c r="G29" s="333">
        <f t="shared" si="1"/>
        <v>0</v>
      </c>
      <c r="H29" s="343" t="s">
        <v>338</v>
      </c>
    </row>
    <row r="30" spans="1:8" ht="24" customHeight="1" x14ac:dyDescent="0.2">
      <c r="A30" s="330" t="s">
        <v>306</v>
      </c>
      <c r="B30" s="339" t="s">
        <v>181</v>
      </c>
      <c r="C30" s="332" t="s">
        <v>1</v>
      </c>
      <c r="D30" s="339">
        <v>173.79</v>
      </c>
      <c r="E30" s="339">
        <v>114.286</v>
      </c>
      <c r="F30" s="333">
        <f t="shared" si="0"/>
        <v>59.503999999999991</v>
      </c>
      <c r="G30" s="333">
        <f t="shared" si="1"/>
        <v>65.760975890442495</v>
      </c>
      <c r="H30" s="343" t="s">
        <v>295</v>
      </c>
    </row>
    <row r="31" spans="1:8" x14ac:dyDescent="0.2">
      <c r="A31" s="330" t="s">
        <v>307</v>
      </c>
      <c r="B31" s="339" t="s">
        <v>183</v>
      </c>
      <c r="C31" s="332" t="s">
        <v>1</v>
      </c>
      <c r="D31" s="339">
        <v>203.92</v>
      </c>
      <c r="E31" s="339">
        <v>0</v>
      </c>
      <c r="F31" s="333">
        <f t="shared" si="0"/>
        <v>203.92</v>
      </c>
      <c r="G31" s="333">
        <f t="shared" si="1"/>
        <v>0</v>
      </c>
      <c r="H31" s="343" t="s">
        <v>295</v>
      </c>
    </row>
    <row r="32" spans="1:8" x14ac:dyDescent="0.2">
      <c r="A32" s="330" t="s">
        <v>308</v>
      </c>
      <c r="B32" s="339" t="s">
        <v>185</v>
      </c>
      <c r="C32" s="332" t="s">
        <v>1</v>
      </c>
      <c r="D32" s="339">
        <v>2474.79</v>
      </c>
      <c r="E32" s="339">
        <v>2580</v>
      </c>
      <c r="F32" s="333">
        <f t="shared" si="0"/>
        <v>-105.21000000000004</v>
      </c>
      <c r="G32" s="333">
        <f t="shared" si="1"/>
        <v>104.25126980471072</v>
      </c>
      <c r="H32" s="343" t="s">
        <v>295</v>
      </c>
    </row>
    <row r="33" spans="1:9" x14ac:dyDescent="0.2">
      <c r="A33" s="330" t="s">
        <v>309</v>
      </c>
      <c r="B33" s="339" t="s">
        <v>187</v>
      </c>
      <c r="C33" s="332" t="s">
        <v>1</v>
      </c>
      <c r="D33" s="339">
        <v>2396.41</v>
      </c>
      <c r="E33" s="339">
        <v>104.49299999999999</v>
      </c>
      <c r="F33" s="333">
        <f t="shared" si="0"/>
        <v>2291.9169999999999</v>
      </c>
      <c r="G33" s="333">
        <f t="shared" si="1"/>
        <v>4.3603974278191124</v>
      </c>
      <c r="H33" s="337" t="s">
        <v>299</v>
      </c>
    </row>
    <row r="34" spans="1:9" x14ac:dyDescent="0.2">
      <c r="A34" s="330" t="s">
        <v>310</v>
      </c>
      <c r="B34" s="339" t="s">
        <v>312</v>
      </c>
      <c r="C34" s="332" t="s">
        <v>1</v>
      </c>
      <c r="D34" s="339">
        <v>3584.78</v>
      </c>
      <c r="E34" s="339">
        <v>574.98500000000001</v>
      </c>
      <c r="F34" s="333">
        <f t="shared" si="0"/>
        <v>3009.7950000000001</v>
      </c>
      <c r="G34" s="333">
        <f t="shared" si="1"/>
        <v>16.039617493960577</v>
      </c>
      <c r="H34" s="337" t="s">
        <v>295</v>
      </c>
    </row>
    <row r="35" spans="1:9" ht="54.75" customHeight="1" x14ac:dyDescent="0.2">
      <c r="A35" s="330" t="s">
        <v>311</v>
      </c>
      <c r="B35" s="344" t="s">
        <v>191</v>
      </c>
      <c r="C35" s="332" t="s">
        <v>1</v>
      </c>
      <c r="D35" s="339">
        <v>1711.27</v>
      </c>
      <c r="E35" s="339">
        <v>7539.2579999999998</v>
      </c>
      <c r="F35" s="333">
        <f t="shared" si="0"/>
        <v>-5827.9879999999994</v>
      </c>
      <c r="G35" s="333">
        <f t="shared" si="1"/>
        <v>440.56507739865714</v>
      </c>
      <c r="H35" s="337" t="s">
        <v>339</v>
      </c>
    </row>
    <row r="36" spans="1:9" s="334" customFormat="1" ht="10.5" customHeight="1" x14ac:dyDescent="0.2">
      <c r="A36" s="330" t="s">
        <v>192</v>
      </c>
      <c r="B36" s="344" t="s">
        <v>193</v>
      </c>
      <c r="C36" s="332" t="s">
        <v>1</v>
      </c>
      <c r="D36" s="339">
        <v>9980.33</v>
      </c>
      <c r="E36" s="339">
        <v>5537.768</v>
      </c>
      <c r="F36" s="333">
        <f t="shared" si="0"/>
        <v>4442.5619999999999</v>
      </c>
      <c r="G36" s="333">
        <f t="shared" si="1"/>
        <v>55.486822580014895</v>
      </c>
      <c r="H36" s="345" t="s">
        <v>340</v>
      </c>
    </row>
    <row r="37" spans="1:9" s="334" customFormat="1" x14ac:dyDescent="0.2">
      <c r="A37" s="330" t="s">
        <v>199</v>
      </c>
      <c r="B37" s="344" t="s">
        <v>200</v>
      </c>
      <c r="C37" s="332" t="s">
        <v>1</v>
      </c>
      <c r="D37" s="336">
        <v>87734.98</v>
      </c>
      <c r="E37" s="336">
        <v>76903.855999999985</v>
      </c>
      <c r="F37" s="333">
        <f t="shared" si="0"/>
        <v>10831.124000000011</v>
      </c>
      <c r="G37" s="333">
        <f t="shared" si="1"/>
        <v>87.654725629389773</v>
      </c>
      <c r="H37" s="345" t="s">
        <v>341</v>
      </c>
    </row>
    <row r="38" spans="1:9" x14ac:dyDescent="0.2">
      <c r="A38" s="330" t="s">
        <v>201</v>
      </c>
      <c r="B38" s="339" t="s">
        <v>202</v>
      </c>
      <c r="C38" s="332" t="s">
        <v>1</v>
      </c>
      <c r="D38" s="339">
        <v>23115.57</v>
      </c>
      <c r="E38" s="339">
        <v>13306.141</v>
      </c>
      <c r="F38" s="333">
        <f t="shared" si="0"/>
        <v>9809.4290000000001</v>
      </c>
      <c r="G38" s="333">
        <f t="shared" si="1"/>
        <v>57.563542668426514</v>
      </c>
      <c r="H38" s="345" t="s">
        <v>342</v>
      </c>
    </row>
    <row r="39" spans="1:9" x14ac:dyDescent="0.2">
      <c r="A39" s="330" t="s">
        <v>203</v>
      </c>
      <c r="B39" s="339" t="s">
        <v>204</v>
      </c>
      <c r="C39" s="332" t="s">
        <v>1</v>
      </c>
      <c r="D39" s="339">
        <v>786.35</v>
      </c>
      <c r="E39" s="339">
        <v>1155.3519999999999</v>
      </c>
      <c r="F39" s="333">
        <f t="shared" si="0"/>
        <v>-369.00199999999984</v>
      </c>
      <c r="G39" s="333">
        <f t="shared" si="1"/>
        <v>146.92592357092894</v>
      </c>
      <c r="H39" s="337"/>
      <c r="I39" s="346"/>
    </row>
    <row r="40" spans="1:9" x14ac:dyDescent="0.2">
      <c r="A40" s="330" t="s">
        <v>205</v>
      </c>
      <c r="B40" s="339" t="s">
        <v>206</v>
      </c>
      <c r="C40" s="332" t="s">
        <v>1</v>
      </c>
      <c r="D40" s="339">
        <v>2058.85</v>
      </c>
      <c r="E40" s="339">
        <v>2207.4029999999998</v>
      </c>
      <c r="F40" s="333">
        <f t="shared" si="0"/>
        <v>-148.55299999999988</v>
      </c>
      <c r="G40" s="333">
        <f t="shared" si="1"/>
        <v>107.21533865993152</v>
      </c>
      <c r="H40" s="337" t="s">
        <v>295</v>
      </c>
    </row>
    <row r="41" spans="1:9" s="334" customFormat="1" x14ac:dyDescent="0.2">
      <c r="A41" s="330" t="s">
        <v>207</v>
      </c>
      <c r="B41" s="339" t="s">
        <v>208</v>
      </c>
      <c r="C41" s="332" t="s">
        <v>1</v>
      </c>
      <c r="D41" s="339">
        <v>30117.55</v>
      </c>
      <c r="E41" s="339">
        <v>30941.597999999998</v>
      </c>
      <c r="F41" s="333">
        <f t="shared" si="0"/>
        <v>-824.04799999999886</v>
      </c>
      <c r="G41" s="333">
        <f t="shared" si="1"/>
        <v>102.73610569252811</v>
      </c>
      <c r="H41" s="343" t="s">
        <v>343</v>
      </c>
    </row>
    <row r="42" spans="1:9" x14ac:dyDescent="0.2">
      <c r="A42" s="330" t="s">
        <v>216</v>
      </c>
      <c r="B42" s="339" t="s">
        <v>217</v>
      </c>
      <c r="C42" s="332" t="s">
        <v>1</v>
      </c>
      <c r="D42" s="339">
        <v>14915.43</v>
      </c>
      <c r="E42" s="339">
        <v>16901.155999999999</v>
      </c>
      <c r="F42" s="333">
        <f t="shared" si="0"/>
        <v>-1985.7259999999987</v>
      </c>
      <c r="G42" s="333">
        <f t="shared" si="1"/>
        <v>113.31323334292071</v>
      </c>
      <c r="H42" s="345" t="s">
        <v>296</v>
      </c>
    </row>
    <row r="43" spans="1:9" x14ac:dyDescent="0.2">
      <c r="A43" s="330" t="s">
        <v>218</v>
      </c>
      <c r="B43" s="339" t="s">
        <v>41</v>
      </c>
      <c r="C43" s="332" t="s">
        <v>1</v>
      </c>
      <c r="D43" s="339">
        <v>5392.17</v>
      </c>
      <c r="E43" s="339">
        <v>3344.107</v>
      </c>
      <c r="F43" s="333">
        <f t="shared" si="0"/>
        <v>2048.0630000000001</v>
      </c>
      <c r="G43" s="333">
        <f t="shared" si="1"/>
        <v>62.017833265642587</v>
      </c>
      <c r="H43" s="345" t="s">
        <v>296</v>
      </c>
    </row>
    <row r="44" spans="1:9" x14ac:dyDescent="0.2">
      <c r="A44" s="330" t="s">
        <v>250</v>
      </c>
      <c r="B44" s="338" t="s">
        <v>43</v>
      </c>
      <c r="C44" s="332" t="s">
        <v>1</v>
      </c>
      <c r="D44" s="339">
        <v>831.76</v>
      </c>
      <c r="E44" s="339">
        <v>235.642</v>
      </c>
      <c r="F44" s="333">
        <f t="shared" si="0"/>
        <v>596.11799999999994</v>
      </c>
      <c r="G44" s="333">
        <f t="shared" si="1"/>
        <v>28.330528036933732</v>
      </c>
      <c r="H44" s="337" t="s">
        <v>295</v>
      </c>
    </row>
    <row r="45" spans="1:9" s="334" customFormat="1" x14ac:dyDescent="0.2">
      <c r="A45" s="330" t="s">
        <v>276</v>
      </c>
      <c r="B45" s="344" t="s">
        <v>45</v>
      </c>
      <c r="C45" s="332" t="s">
        <v>1</v>
      </c>
      <c r="D45" s="339">
        <v>10517.3</v>
      </c>
      <c r="E45" s="339">
        <v>8812.4569999999985</v>
      </c>
      <c r="F45" s="333">
        <f t="shared" si="0"/>
        <v>1704.8430000000008</v>
      </c>
      <c r="G45" s="333">
        <f t="shared" si="1"/>
        <v>83.790107727268392</v>
      </c>
      <c r="H45" s="337" t="s">
        <v>295</v>
      </c>
    </row>
    <row r="46" spans="1:9" s="334" customFormat="1" x14ac:dyDescent="0.2">
      <c r="A46" s="350" t="s">
        <v>68</v>
      </c>
      <c r="B46" s="351" t="s">
        <v>69</v>
      </c>
      <c r="C46" s="352" t="s">
        <v>1</v>
      </c>
      <c r="D46" s="353">
        <v>421692.66964000004</v>
      </c>
      <c r="E46" s="353">
        <v>330129.61300000001</v>
      </c>
      <c r="F46" s="354">
        <f t="shared" ref="F46:F74" si="2">D46-E46</f>
        <v>91563.056640000024</v>
      </c>
      <c r="G46" s="354">
        <f t="shared" ref="G46:G74" si="3">E46/D46*100</f>
        <v>78.286780105006898</v>
      </c>
      <c r="H46" s="355" t="s">
        <v>295</v>
      </c>
    </row>
    <row r="47" spans="1:9" s="334" customFormat="1" ht="24" x14ac:dyDescent="0.2">
      <c r="A47" s="350" t="s">
        <v>239</v>
      </c>
      <c r="B47" s="351" t="s">
        <v>70</v>
      </c>
      <c r="C47" s="352" t="s">
        <v>1</v>
      </c>
      <c r="D47" s="353">
        <v>412673.33964000002</v>
      </c>
      <c r="E47" s="353">
        <v>326692.74599999998</v>
      </c>
      <c r="F47" s="353">
        <f t="shared" ref="F47" si="4">F48+F49+F52+F53+F50+F51</f>
        <v>85980.593639999992</v>
      </c>
      <c r="G47" s="354">
        <f t="shared" si="3"/>
        <v>79.164974961792751</v>
      </c>
      <c r="H47" s="355" t="s">
        <v>295</v>
      </c>
    </row>
    <row r="48" spans="1:9" s="342" customFormat="1" ht="14.25" customHeight="1" x14ac:dyDescent="0.2">
      <c r="A48" s="330" t="s">
        <v>242</v>
      </c>
      <c r="B48" s="338" t="s">
        <v>72</v>
      </c>
      <c r="C48" s="332" t="s">
        <v>1</v>
      </c>
      <c r="D48" s="339">
        <v>293911.49</v>
      </c>
      <c r="E48" s="339">
        <v>180573.06299999999</v>
      </c>
      <c r="F48" s="333">
        <f t="shared" si="2"/>
        <v>113338.427</v>
      </c>
      <c r="G48" s="333">
        <f t="shared" si="3"/>
        <v>61.437905336739306</v>
      </c>
      <c r="H48" s="337" t="s">
        <v>295</v>
      </c>
    </row>
    <row r="49" spans="1:8" s="342" customFormat="1" x14ac:dyDescent="0.2">
      <c r="A49" s="330" t="s">
        <v>244</v>
      </c>
      <c r="B49" s="338" t="s">
        <v>22</v>
      </c>
      <c r="C49" s="332" t="s">
        <v>1</v>
      </c>
      <c r="D49" s="339">
        <v>29097.24</v>
      </c>
      <c r="E49" s="339">
        <v>18110.622000000003</v>
      </c>
      <c r="F49" s="333">
        <f t="shared" si="2"/>
        <v>10986.617999999999</v>
      </c>
      <c r="G49" s="333">
        <f t="shared" si="3"/>
        <v>62.241717771170059</v>
      </c>
      <c r="H49" s="337" t="s">
        <v>295</v>
      </c>
    </row>
    <row r="50" spans="1:8" s="342" customFormat="1" ht="13.5" customHeight="1" x14ac:dyDescent="0.2">
      <c r="A50" s="330" t="s">
        <v>277</v>
      </c>
      <c r="B50" s="338" t="s">
        <v>319</v>
      </c>
      <c r="C50" s="332" t="s">
        <v>1</v>
      </c>
      <c r="D50" s="339">
        <v>8817.34</v>
      </c>
      <c r="E50" s="339">
        <v>3954.7799999999997</v>
      </c>
      <c r="F50" s="333">
        <f t="shared" si="2"/>
        <v>4862.5600000000004</v>
      </c>
      <c r="G50" s="333">
        <f t="shared" si="3"/>
        <v>44.852302395053378</v>
      </c>
      <c r="H50" s="337" t="s">
        <v>331</v>
      </c>
    </row>
    <row r="51" spans="1:8" s="342" customFormat="1" ht="13.5" customHeight="1" x14ac:dyDescent="0.2">
      <c r="A51" s="330" t="s">
        <v>278</v>
      </c>
      <c r="B51" s="338" t="s">
        <v>320</v>
      </c>
      <c r="C51" s="332" t="s">
        <v>1</v>
      </c>
      <c r="D51" s="339">
        <v>3049.28</v>
      </c>
      <c r="E51" s="339">
        <v>2746.268</v>
      </c>
      <c r="F51" s="333">
        <f t="shared" ref="F51" si="5">D51-E51</f>
        <v>303.01200000000017</v>
      </c>
      <c r="G51" s="333">
        <f t="shared" ref="G51" si="6">E51/D51*100</f>
        <v>90.062834505194672</v>
      </c>
      <c r="H51" s="337" t="s">
        <v>331</v>
      </c>
    </row>
    <row r="52" spans="1:8" ht="14.25" customHeight="1" x14ac:dyDescent="0.2">
      <c r="A52" s="330" t="s">
        <v>279</v>
      </c>
      <c r="B52" s="339" t="s">
        <v>75</v>
      </c>
      <c r="C52" s="332" t="s">
        <v>1</v>
      </c>
      <c r="D52" s="339">
        <v>60571.92684</v>
      </c>
      <c r="E52" s="339">
        <v>111036.93000000001</v>
      </c>
      <c r="F52" s="333">
        <f t="shared" si="2"/>
        <v>-50465.003160000007</v>
      </c>
      <c r="G52" s="333">
        <f t="shared" si="3"/>
        <v>183.31417835411227</v>
      </c>
      <c r="H52" s="337" t="s">
        <v>344</v>
      </c>
    </row>
    <row r="53" spans="1:8" x14ac:dyDescent="0.2">
      <c r="A53" s="330" t="s">
        <v>280</v>
      </c>
      <c r="B53" s="339" t="s">
        <v>84</v>
      </c>
      <c r="C53" s="332" t="s">
        <v>85</v>
      </c>
      <c r="D53" s="336">
        <v>17226.062799999996</v>
      </c>
      <c r="E53" s="336">
        <v>10271.083000000001</v>
      </c>
      <c r="F53" s="333">
        <f t="shared" si="2"/>
        <v>6954.9797999999955</v>
      </c>
      <c r="G53" s="333">
        <f t="shared" si="3"/>
        <v>59.625249943939615</v>
      </c>
      <c r="H53" s="339"/>
    </row>
    <row r="54" spans="1:8" ht="19.149999999999999" customHeight="1" x14ac:dyDescent="0.2">
      <c r="A54" s="330" t="s">
        <v>281</v>
      </c>
      <c r="B54" s="339" t="s">
        <v>87</v>
      </c>
      <c r="C54" s="332" t="s">
        <v>1</v>
      </c>
      <c r="D54" s="339">
        <v>2893.6228000000001</v>
      </c>
      <c r="E54" s="339">
        <v>5258.93</v>
      </c>
      <c r="F54" s="333">
        <f t="shared" si="2"/>
        <v>-2365.3072000000002</v>
      </c>
      <c r="G54" s="333">
        <f t="shared" si="3"/>
        <v>181.74207087392318</v>
      </c>
      <c r="H54" s="337" t="s">
        <v>315</v>
      </c>
    </row>
    <row r="55" spans="1:8" x14ac:dyDescent="0.2">
      <c r="A55" s="330" t="s">
        <v>321</v>
      </c>
      <c r="B55" s="339" t="s">
        <v>89</v>
      </c>
      <c r="C55" s="332" t="s">
        <v>1</v>
      </c>
      <c r="D55" s="339">
        <v>3143.17</v>
      </c>
      <c r="E55" s="339">
        <v>339.40100000000007</v>
      </c>
      <c r="F55" s="333">
        <f t="shared" si="2"/>
        <v>2803.7690000000002</v>
      </c>
      <c r="G55" s="333">
        <f t="shared" si="3"/>
        <v>10.798047830693219</v>
      </c>
      <c r="H55" s="337" t="s">
        <v>297</v>
      </c>
    </row>
    <row r="56" spans="1:8" x14ac:dyDescent="0.2">
      <c r="A56" s="330" t="s">
        <v>282</v>
      </c>
      <c r="B56" s="338" t="s">
        <v>91</v>
      </c>
      <c r="C56" s="332" t="s">
        <v>1</v>
      </c>
      <c r="D56" s="339">
        <v>3448.77</v>
      </c>
      <c r="E56" s="339">
        <v>3056.3050000000003</v>
      </c>
      <c r="F56" s="333">
        <f t="shared" si="2"/>
        <v>392.46499999999969</v>
      </c>
      <c r="G56" s="333">
        <f t="shared" si="3"/>
        <v>88.620145733116445</v>
      </c>
      <c r="H56" s="339" t="s">
        <v>345</v>
      </c>
    </row>
    <row r="57" spans="1:8" x14ac:dyDescent="0.2">
      <c r="A57" s="330" t="s">
        <v>283</v>
      </c>
      <c r="B57" s="339" t="s">
        <v>204</v>
      </c>
      <c r="C57" s="332" t="s">
        <v>1</v>
      </c>
      <c r="D57" s="339">
        <v>1763.84</v>
      </c>
      <c r="E57" s="339">
        <v>529.53399999999999</v>
      </c>
      <c r="F57" s="333">
        <f t="shared" si="2"/>
        <v>1234.306</v>
      </c>
      <c r="G57" s="333">
        <f t="shared" si="3"/>
        <v>30.021657293178521</v>
      </c>
      <c r="H57" s="339" t="s">
        <v>295</v>
      </c>
    </row>
    <row r="58" spans="1:8" hidden="1" x14ac:dyDescent="0.2">
      <c r="A58" s="330" t="s">
        <v>284</v>
      </c>
      <c r="B58" s="339" t="s">
        <v>219</v>
      </c>
      <c r="C58" s="332" t="s">
        <v>1</v>
      </c>
      <c r="D58" s="339"/>
      <c r="E58" s="339"/>
      <c r="F58" s="333">
        <f t="shared" si="2"/>
        <v>0</v>
      </c>
      <c r="G58" s="333"/>
      <c r="H58" s="339"/>
    </row>
    <row r="59" spans="1:8" ht="11.25" customHeight="1" x14ac:dyDescent="0.2">
      <c r="A59" s="330" t="s">
        <v>285</v>
      </c>
      <c r="B59" s="339" t="s">
        <v>275</v>
      </c>
      <c r="C59" s="332" t="s">
        <v>1</v>
      </c>
      <c r="D59" s="339">
        <v>2317.2199999999998</v>
      </c>
      <c r="E59" s="339">
        <v>0</v>
      </c>
      <c r="F59" s="333">
        <f t="shared" si="2"/>
        <v>2317.2199999999998</v>
      </c>
      <c r="G59" s="333">
        <f t="shared" si="3"/>
        <v>0</v>
      </c>
      <c r="H59" s="337" t="s">
        <v>295</v>
      </c>
    </row>
    <row r="60" spans="1:8" x14ac:dyDescent="0.2">
      <c r="A60" s="330" t="s">
        <v>322</v>
      </c>
      <c r="B60" s="339" t="s">
        <v>223</v>
      </c>
      <c r="C60" s="332" t="s">
        <v>1</v>
      </c>
      <c r="D60" s="339">
        <v>3128.25</v>
      </c>
      <c r="E60" s="339">
        <v>433.30500000000001</v>
      </c>
      <c r="F60" s="333">
        <f t="shared" si="2"/>
        <v>2694.9450000000002</v>
      </c>
      <c r="G60" s="333">
        <f t="shared" si="3"/>
        <v>13.851354591225126</v>
      </c>
      <c r="H60" s="337" t="s">
        <v>295</v>
      </c>
    </row>
    <row r="61" spans="1:8" x14ac:dyDescent="0.2">
      <c r="A61" s="330" t="s">
        <v>323</v>
      </c>
      <c r="B61" s="338" t="s">
        <v>225</v>
      </c>
      <c r="C61" s="332" t="s">
        <v>1</v>
      </c>
      <c r="D61" s="339">
        <v>531.19000000000005</v>
      </c>
      <c r="E61" s="339">
        <v>344.4</v>
      </c>
      <c r="F61" s="333">
        <f t="shared" si="2"/>
        <v>186.79000000000008</v>
      </c>
      <c r="G61" s="333">
        <f t="shared" si="3"/>
        <v>64.83555789830379</v>
      </c>
      <c r="H61" s="337" t="s">
        <v>295</v>
      </c>
    </row>
    <row r="62" spans="1:8" x14ac:dyDescent="0.2">
      <c r="A62" s="330" t="s">
        <v>324</v>
      </c>
      <c r="B62" s="339" t="s">
        <v>45</v>
      </c>
      <c r="C62" s="332" t="s">
        <v>1</v>
      </c>
      <c r="D62" s="339"/>
      <c r="E62" s="339">
        <v>309.20800000000003</v>
      </c>
      <c r="F62" s="333">
        <f>D62-E62</f>
        <v>-309.20800000000003</v>
      </c>
      <c r="G62" s="333"/>
      <c r="H62" s="337" t="s">
        <v>298</v>
      </c>
    </row>
    <row r="63" spans="1:8" x14ac:dyDescent="0.2">
      <c r="A63" s="330" t="s">
        <v>325</v>
      </c>
      <c r="B63" s="339" t="s">
        <v>96</v>
      </c>
      <c r="C63" s="332" t="s">
        <v>1</v>
      </c>
      <c r="D63" s="336">
        <v>9019.33</v>
      </c>
      <c r="E63" s="336">
        <v>3436.8670000000002</v>
      </c>
      <c r="F63" s="333">
        <f t="shared" si="2"/>
        <v>5582.4629999999997</v>
      </c>
      <c r="G63" s="333">
        <f t="shared" si="3"/>
        <v>38.105568817195959</v>
      </c>
      <c r="H63" s="337" t="s">
        <v>295</v>
      </c>
    </row>
    <row r="64" spans="1:8" ht="15.6" hidden="1" customHeight="1" x14ac:dyDescent="0.2">
      <c r="A64" s="330" t="s">
        <v>97</v>
      </c>
      <c r="B64" s="338" t="s">
        <v>98</v>
      </c>
      <c r="C64" s="332" t="s">
        <v>1</v>
      </c>
      <c r="D64" s="339"/>
      <c r="E64" s="339"/>
      <c r="F64" s="333"/>
      <c r="G64" s="333"/>
      <c r="H64" s="337" t="s">
        <v>295</v>
      </c>
    </row>
    <row r="65" spans="1:8" x14ac:dyDescent="0.2">
      <c r="A65" s="330" t="s">
        <v>326</v>
      </c>
      <c r="B65" s="338" t="s">
        <v>202</v>
      </c>
      <c r="C65" s="332" t="s">
        <v>1</v>
      </c>
      <c r="D65" s="339">
        <v>3980.17</v>
      </c>
      <c r="E65" s="339">
        <v>1623.3010000000002</v>
      </c>
      <c r="F65" s="333">
        <f t="shared" si="2"/>
        <v>2356.8689999999997</v>
      </c>
      <c r="G65" s="333">
        <f t="shared" si="3"/>
        <v>40.784715225731567</v>
      </c>
      <c r="H65" s="337" t="s">
        <v>295</v>
      </c>
    </row>
    <row r="66" spans="1:8" x14ac:dyDescent="0.2">
      <c r="A66" s="330" t="s">
        <v>327</v>
      </c>
      <c r="B66" s="339" t="s">
        <v>103</v>
      </c>
      <c r="C66" s="332" t="s">
        <v>1</v>
      </c>
      <c r="D66" s="339">
        <v>4291.17</v>
      </c>
      <c r="E66" s="339">
        <v>1609.4949999999999</v>
      </c>
      <c r="F66" s="333">
        <f t="shared" si="2"/>
        <v>2681.6750000000002</v>
      </c>
      <c r="G66" s="333">
        <f t="shared" si="3"/>
        <v>37.507136748252805</v>
      </c>
      <c r="H66" s="337" t="s">
        <v>295</v>
      </c>
    </row>
    <row r="67" spans="1:8" x14ac:dyDescent="0.2">
      <c r="A67" s="330" t="s">
        <v>328</v>
      </c>
      <c r="B67" s="339" t="s">
        <v>105</v>
      </c>
      <c r="C67" s="332" t="s">
        <v>1</v>
      </c>
      <c r="D67" s="339">
        <v>587.08000000000004</v>
      </c>
      <c r="E67" s="339">
        <v>21.96</v>
      </c>
      <c r="F67" s="333">
        <f t="shared" si="2"/>
        <v>565.12</v>
      </c>
      <c r="G67" s="333">
        <f t="shared" si="3"/>
        <v>3.7405464331947949</v>
      </c>
      <c r="H67" s="337" t="s">
        <v>295</v>
      </c>
    </row>
    <row r="68" spans="1:8" x14ac:dyDescent="0.2">
      <c r="A68" s="330" t="s">
        <v>329</v>
      </c>
      <c r="B68" s="339" t="s">
        <v>107</v>
      </c>
      <c r="C68" s="332" t="s">
        <v>1</v>
      </c>
      <c r="D68" s="339">
        <v>81.11</v>
      </c>
      <c r="E68" s="339">
        <v>72.046999999999997</v>
      </c>
      <c r="F68" s="333">
        <f t="shared" si="2"/>
        <v>9.0630000000000024</v>
      </c>
      <c r="G68" s="333">
        <f t="shared" si="3"/>
        <v>88.826285291579339</v>
      </c>
      <c r="H68" s="337" t="s">
        <v>313</v>
      </c>
    </row>
    <row r="69" spans="1:8" x14ac:dyDescent="0.2">
      <c r="A69" s="330" t="s">
        <v>330</v>
      </c>
      <c r="B69" s="339" t="s">
        <v>109</v>
      </c>
      <c r="C69" s="332" t="s">
        <v>1</v>
      </c>
      <c r="D69" s="339">
        <v>79.8</v>
      </c>
      <c r="E69" s="339">
        <v>110.06399999999999</v>
      </c>
      <c r="F69" s="333">
        <f t="shared" si="2"/>
        <v>-30.263999999999996</v>
      </c>
      <c r="G69" s="333">
        <f t="shared" si="3"/>
        <v>137.92481203007517</v>
      </c>
      <c r="H69" s="337" t="s">
        <v>313</v>
      </c>
    </row>
    <row r="70" spans="1:8" s="341" customFormat="1" ht="24" x14ac:dyDescent="0.2">
      <c r="A70" s="340" t="s">
        <v>111</v>
      </c>
      <c r="B70" s="337" t="s">
        <v>251</v>
      </c>
      <c r="C70" s="332" t="s">
        <v>1</v>
      </c>
      <c r="D70" s="333">
        <v>8780254.3234850019</v>
      </c>
      <c r="E70" s="333">
        <v>7011187.5250000004</v>
      </c>
      <c r="F70" s="333">
        <f t="shared" si="2"/>
        <v>1769066.7984850015</v>
      </c>
      <c r="G70" s="333">
        <f t="shared" si="3"/>
        <v>79.851759034437237</v>
      </c>
      <c r="H70" s="337"/>
    </row>
    <row r="71" spans="1:8" s="341" customFormat="1" ht="20.45" customHeight="1" x14ac:dyDescent="0.2">
      <c r="A71" s="340" t="s">
        <v>113</v>
      </c>
      <c r="B71" s="337" t="s">
        <v>286</v>
      </c>
      <c r="C71" s="332" t="s">
        <v>1</v>
      </c>
      <c r="D71" s="333">
        <v>358056.9865149986</v>
      </c>
      <c r="E71" s="333">
        <v>-2368006.5923100011</v>
      </c>
      <c r="F71" s="333">
        <f t="shared" si="2"/>
        <v>2726063.5788249997</v>
      </c>
      <c r="G71" s="333"/>
      <c r="H71" s="333"/>
    </row>
    <row r="72" spans="1:8" s="341" customFormat="1" ht="24" x14ac:dyDescent="0.2">
      <c r="A72" s="340" t="s">
        <v>115</v>
      </c>
      <c r="B72" s="337" t="s">
        <v>40</v>
      </c>
      <c r="C72" s="332" t="s">
        <v>1</v>
      </c>
      <c r="D72" s="336">
        <v>9138311.3100000005</v>
      </c>
      <c r="E72" s="336">
        <v>4643180.9326899992</v>
      </c>
      <c r="F72" s="333">
        <f t="shared" si="2"/>
        <v>4495130.3773100013</v>
      </c>
      <c r="G72" s="333">
        <f t="shared" si="3"/>
        <v>50.81005423407926</v>
      </c>
      <c r="H72" s="337" t="s">
        <v>295</v>
      </c>
    </row>
    <row r="73" spans="1:8" s="349" customFormat="1" x14ac:dyDescent="0.2">
      <c r="A73" s="340"/>
      <c r="B73" s="337" t="s">
        <v>230</v>
      </c>
      <c r="C73" s="347" t="s">
        <v>231</v>
      </c>
      <c r="D73" s="348">
        <v>1347916.8</v>
      </c>
      <c r="E73" s="348">
        <v>716037.58000000007</v>
      </c>
      <c r="F73" s="333">
        <f t="shared" si="2"/>
        <v>631879.22</v>
      </c>
      <c r="G73" s="333">
        <f t="shared" si="3"/>
        <v>53.121793570641749</v>
      </c>
      <c r="H73" s="337" t="s">
        <v>295</v>
      </c>
    </row>
    <row r="74" spans="1:8" s="349" customFormat="1" x14ac:dyDescent="0.2">
      <c r="A74" s="340"/>
      <c r="B74" s="337" t="s">
        <v>236</v>
      </c>
      <c r="C74" s="347" t="s">
        <v>237</v>
      </c>
      <c r="D74" s="348">
        <v>6.7795811358683267</v>
      </c>
      <c r="E74" s="348">
        <v>6.4845492225282344</v>
      </c>
      <c r="F74" s="333">
        <f t="shared" si="2"/>
        <v>0.29503191334009227</v>
      </c>
      <c r="G74" s="333">
        <f t="shared" si="3"/>
        <v>95.648228003656683</v>
      </c>
      <c r="H74" s="337"/>
    </row>
  </sheetData>
  <mergeCells count="16">
    <mergeCell ref="H23:H24"/>
    <mergeCell ref="G2:H2"/>
    <mergeCell ref="G3:H3"/>
    <mergeCell ref="G1:H1"/>
    <mergeCell ref="F8:F9"/>
    <mergeCell ref="A4:H4"/>
    <mergeCell ref="A5:H5"/>
    <mergeCell ref="A6:H6"/>
    <mergeCell ref="A7:H7"/>
    <mergeCell ref="H8:H9"/>
    <mergeCell ref="G8:G9"/>
    <mergeCell ref="A8:A9"/>
    <mergeCell ref="B8:B9"/>
    <mergeCell ref="C8:C9"/>
    <mergeCell ref="D8:D9"/>
    <mergeCell ref="E8:E9"/>
  </mergeCells>
  <phoneticPr fontId="28" type="noConversion"/>
  <printOptions horizontalCentered="1"/>
  <pageMargins left="0.19685039370078741" right="0.19685039370078741" top="0.35433070866141736" bottom="0.23622047244094491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8" activePane="bottomRight" state="frozen"/>
      <selection pane="topRight" activeCell="F1" sqref="F1"/>
      <selection pane="bottomLeft" activeCell="A5" sqref="A5"/>
      <selection pane="bottomRight" activeCell="X12" sqref="X12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hidden="1" customWidth="1"/>
    <col min="16" max="16" width="14.7109375" style="121" hidden="1" customWidth="1"/>
    <col min="17" max="17" width="13.28515625" style="3" hidden="1" customWidth="1"/>
    <col min="18" max="18" width="13.7109375" style="3" hidden="1" customWidth="1"/>
    <col min="19" max="20" width="12.85546875" style="3" hidden="1" customWidth="1"/>
    <col min="21" max="21" width="14.5703125" style="46" hidden="1" customWidth="1"/>
    <col min="22" max="22" width="9.140625" style="3" hidden="1" customWidth="1"/>
    <col min="23" max="23" width="14.85546875" style="144" customWidth="1"/>
    <col min="24" max="24" width="14.7109375" style="121" customWidth="1"/>
    <col min="25" max="25" width="13.28515625" style="3" customWidth="1"/>
    <col min="26" max="26" width="13.7109375" style="3" customWidth="1"/>
    <col min="27" max="28" width="12.85546875" style="3" customWidth="1"/>
    <col min="29" max="16384" width="9.140625" style="3"/>
  </cols>
  <sheetData>
    <row r="1" spans="1:28" x14ac:dyDescent="0.2">
      <c r="B1" s="2" t="s">
        <v>148</v>
      </c>
      <c r="C1" s="2"/>
      <c r="D1" s="2"/>
      <c r="E1" s="2"/>
      <c r="K1" s="356"/>
      <c r="L1" s="356"/>
      <c r="M1" s="356"/>
      <c r="N1" s="356"/>
      <c r="Q1" s="356"/>
      <c r="R1" s="356"/>
      <c r="S1" s="356"/>
      <c r="T1" s="356"/>
      <c r="Y1" s="356"/>
      <c r="Z1" s="356"/>
      <c r="AA1" s="356"/>
      <c r="AB1" s="356"/>
    </row>
    <row r="2" spans="1:28" x14ac:dyDescent="0.2">
      <c r="B2" s="2"/>
      <c r="C2" s="2"/>
      <c r="D2" s="2"/>
      <c r="E2" s="2"/>
      <c r="L2" s="356"/>
      <c r="M2" s="356"/>
      <c r="N2" s="356"/>
      <c r="R2" s="356"/>
      <c r="S2" s="356"/>
      <c r="T2" s="356"/>
      <c r="Z2" s="356"/>
      <c r="AA2" s="356"/>
      <c r="AB2" s="356"/>
    </row>
    <row r="3" spans="1:28" ht="15.75" customHeight="1" x14ac:dyDescent="0.2">
      <c r="A3" s="357" t="s">
        <v>159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28" x14ac:dyDescent="0.2">
      <c r="A4" s="357" t="s">
        <v>160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28" x14ac:dyDescent="0.2">
      <c r="B5" s="361"/>
      <c r="C5" s="361"/>
      <c r="D5" s="361"/>
      <c r="E5" s="361"/>
      <c r="F5" s="361"/>
    </row>
    <row r="6" spans="1:28" x14ac:dyDescent="0.2">
      <c r="A6" s="367" t="s">
        <v>161</v>
      </c>
      <c r="B6" s="360" t="s">
        <v>162</v>
      </c>
      <c r="C6" s="358" t="s">
        <v>163</v>
      </c>
      <c r="D6" s="358" t="s">
        <v>164</v>
      </c>
      <c r="E6" s="363" t="s">
        <v>145</v>
      </c>
      <c r="F6" s="358" t="s">
        <v>165</v>
      </c>
      <c r="G6" s="358" t="s">
        <v>166</v>
      </c>
      <c r="H6" s="363" t="s">
        <v>146</v>
      </c>
      <c r="I6" s="360" t="s">
        <v>152</v>
      </c>
      <c r="J6" s="360"/>
      <c r="K6" s="360"/>
      <c r="L6" s="360"/>
      <c r="M6" s="360"/>
      <c r="N6" s="360"/>
      <c r="O6" s="360" t="s">
        <v>150</v>
      </c>
      <c r="P6" s="360"/>
      <c r="Q6" s="360"/>
      <c r="R6" s="360"/>
      <c r="S6" s="360"/>
      <c r="T6" s="360"/>
      <c r="U6" s="358" t="s">
        <v>142</v>
      </c>
      <c r="W6" s="360" t="s">
        <v>137</v>
      </c>
      <c r="X6" s="360"/>
      <c r="Y6" s="360"/>
      <c r="Z6" s="360"/>
      <c r="AA6" s="360"/>
      <c r="AB6" s="360"/>
    </row>
    <row r="7" spans="1:28" ht="78.75" x14ac:dyDescent="0.2">
      <c r="A7" s="367"/>
      <c r="B7" s="360"/>
      <c r="C7" s="359"/>
      <c r="D7" s="362"/>
      <c r="E7" s="364"/>
      <c r="F7" s="362"/>
      <c r="G7" s="362"/>
      <c r="H7" s="364"/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 t="s">
        <v>173</v>
      </c>
      <c r="O7" s="145" t="s">
        <v>168</v>
      </c>
      <c r="P7" s="15" t="s">
        <v>169</v>
      </c>
      <c r="Q7" s="6" t="s">
        <v>170</v>
      </c>
      <c r="R7" s="6" t="s">
        <v>171</v>
      </c>
      <c r="S7" s="6" t="s">
        <v>172</v>
      </c>
      <c r="T7" s="6" t="s">
        <v>173</v>
      </c>
      <c r="U7" s="359"/>
      <c r="W7" s="145" t="s">
        <v>168</v>
      </c>
      <c r="X7" s="15" t="s">
        <v>169</v>
      </c>
      <c r="Y7" s="6" t="s">
        <v>170</v>
      </c>
      <c r="Z7" s="6" t="s">
        <v>171</v>
      </c>
      <c r="AA7" s="6" t="s">
        <v>172</v>
      </c>
      <c r="AB7" s="6" t="s">
        <v>173</v>
      </c>
    </row>
    <row r="8" spans="1:28" s="67" customFormat="1" ht="31.5" x14ac:dyDescent="0.2">
      <c r="A8" s="61" t="s">
        <v>174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10557211.336054157</v>
      </c>
      <c r="X8" s="65">
        <f t="shared" si="1"/>
        <v>2249180.6769440835</v>
      </c>
      <c r="Y8" s="65">
        <f t="shared" si="1"/>
        <v>2474021.5929599977</v>
      </c>
      <c r="Z8" s="65">
        <f t="shared" si="1"/>
        <v>2692049.6368100415</v>
      </c>
      <c r="AA8" s="65">
        <f t="shared" si="1"/>
        <v>2930120.9577558362</v>
      </c>
      <c r="AB8" s="65">
        <f t="shared" si="1"/>
        <v>3214321.0258511468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3411033.9359856835</v>
      </c>
      <c r="X9" s="58">
        <f t="shared" si="3"/>
        <v>659173.96406000003</v>
      </c>
      <c r="Y9" s="58">
        <f t="shared" si="3"/>
        <v>665700.42550360004</v>
      </c>
      <c r="Z9" s="58">
        <f t="shared" si="3"/>
        <v>681342.84007521998</v>
      </c>
      <c r="AA9" s="58">
        <f t="shared" si="3"/>
        <v>694359.81895920739</v>
      </c>
      <c r="AB9" s="58">
        <f t="shared" si="3"/>
        <v>710456.88738765568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320493.10694080638</v>
      </c>
      <c r="X10" s="132">
        <f>54408.761*1.06</f>
        <v>57673.286659999998</v>
      </c>
      <c r="Y10" s="16">
        <f>X10*1.06</f>
        <v>61133.683859600002</v>
      </c>
      <c r="Z10" s="16">
        <f>Y10*1.05</f>
        <v>64190.368052580001</v>
      </c>
      <c r="AA10" s="16">
        <f>Z10*1.05</f>
        <v>67399.886455209009</v>
      </c>
      <c r="AB10" s="16">
        <f>AA10*1.04</f>
        <v>70095.881913417368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238218.96000000002</v>
      </c>
      <c r="X14" s="15">
        <v>41687.449999999997</v>
      </c>
      <c r="Y14" s="15">
        <v>44364.31</v>
      </c>
      <c r="Z14" s="15">
        <v>47555.77</v>
      </c>
      <c r="AA14" s="15">
        <v>51231.86</v>
      </c>
      <c r="AB14" s="15">
        <v>53379.57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138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139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hidden="1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hidden="1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hidden="1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hidden="1" x14ac:dyDescent="0.2">
      <c r="A30" s="5" t="s">
        <v>39</v>
      </c>
      <c r="B30" s="16" t="s">
        <v>175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hidden="1" x14ac:dyDescent="0.2">
      <c r="A31" s="5" t="s">
        <v>176</v>
      </c>
      <c r="B31" s="16" t="s">
        <v>177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hidden="1" x14ac:dyDescent="0.2">
      <c r="A32" s="5" t="s">
        <v>178</v>
      </c>
      <c r="B32" s="16" t="s">
        <v>179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hidden="1" x14ac:dyDescent="0.2">
      <c r="A33" s="5" t="s">
        <v>180</v>
      </c>
      <c r="B33" s="16" t="s">
        <v>181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hidden="1" x14ac:dyDescent="0.2">
      <c r="A34" s="5" t="s">
        <v>182</v>
      </c>
      <c r="B34" s="16" t="s">
        <v>183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hidden="1" x14ac:dyDescent="0.2">
      <c r="A35" s="5" t="s">
        <v>184</v>
      </c>
      <c r="B35" s="16" t="s">
        <v>185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hidden="1" x14ac:dyDescent="0.2">
      <c r="A36" s="128" t="s">
        <v>186</v>
      </c>
      <c r="B36" s="129" t="s">
        <v>187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hidden="1" x14ac:dyDescent="0.2">
      <c r="A37" s="128" t="s">
        <v>188</v>
      </c>
      <c r="B37" s="129" t="s">
        <v>189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hidden="1" x14ac:dyDescent="0.2">
      <c r="A38" s="5" t="s">
        <v>190</v>
      </c>
      <c r="B38" s="25" t="s">
        <v>191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192</v>
      </c>
      <c r="B39" s="26" t="s">
        <v>193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194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195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196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197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198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199</v>
      </c>
      <c r="B45" s="26" t="s">
        <v>200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388912.2516661199</v>
      </c>
      <c r="X45" s="12">
        <f t="shared" si="18"/>
        <v>78174.756452707108</v>
      </c>
      <c r="Y45" s="12">
        <f t="shared" si="18"/>
        <v>82905.601597155517</v>
      </c>
      <c r="Z45" s="12">
        <f t="shared" si="18"/>
        <v>87923.122372984857</v>
      </c>
      <c r="AA45" s="12">
        <f t="shared" si="18"/>
        <v>90038.862195363952</v>
      </c>
      <c r="AB45" s="12">
        <f t="shared" si="18"/>
        <v>95458.580507085804</v>
      </c>
    </row>
    <row r="46" spans="1:28" hidden="1" x14ac:dyDescent="0.2">
      <c r="A46" s="5" t="s">
        <v>201</v>
      </c>
      <c r="B46" s="16" t="s">
        <v>202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238713.23976630441</v>
      </c>
      <c r="X46" s="15">
        <f>N46*1.06*1.06</f>
        <v>42346.869469809913</v>
      </c>
      <c r="Y46" s="16">
        <f t="shared" ref="Y46:AB48" si="20">X46*1.06</f>
        <v>44887.68163799851</v>
      </c>
      <c r="Z46" s="16">
        <f t="shared" si="20"/>
        <v>47580.942536278424</v>
      </c>
      <c r="AA46" s="16">
        <f t="shared" si="20"/>
        <v>50435.799088455133</v>
      </c>
      <c r="AB46" s="16">
        <f t="shared" si="20"/>
        <v>53461.947033762444</v>
      </c>
    </row>
    <row r="47" spans="1:28" hidden="1" x14ac:dyDescent="0.2">
      <c r="A47" s="5" t="s">
        <v>203</v>
      </c>
      <c r="B47" s="16" t="s">
        <v>204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hidden="1" x14ac:dyDescent="0.2">
      <c r="A48" s="5" t="s">
        <v>205</v>
      </c>
      <c r="B48" s="16" t="s">
        <v>206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207</v>
      </c>
      <c r="B49" s="138" t="s">
        <v>208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hidden="1" outlineLevel="1" x14ac:dyDescent="0.2">
      <c r="A50" s="5"/>
      <c r="B50" s="16" t="s">
        <v>194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hidden="1" outlineLevel="1" x14ac:dyDescent="0.2">
      <c r="A51" s="5"/>
      <c r="B51" s="16" t="s">
        <v>209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>X51*1.06</f>
        <v>605.2992200000001</v>
      </c>
      <c r="Z51" s="16">
        <f t="shared" ref="Z51:AB55" si="25">Y51*1.06</f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hidden="1" outlineLevel="1" x14ac:dyDescent="0.2">
      <c r="A52" s="5"/>
      <c r="B52" s="16" t="s">
        <v>210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>X52*1.06</f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hidden="1" outlineLevel="1" x14ac:dyDescent="0.2">
      <c r="A53" s="5"/>
      <c r="B53" s="16" t="s">
        <v>211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>X53*1.06</f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hidden="1" outlineLevel="1" x14ac:dyDescent="0.2">
      <c r="A54" s="5"/>
      <c r="B54" s="16" t="s">
        <v>212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>X54*1.06</f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hidden="1" outlineLevel="1" x14ac:dyDescent="0.2">
      <c r="A55" s="5"/>
      <c r="B55" s="16" t="s">
        <v>213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>X55*1.06</f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ht="31.5" hidden="1" outlineLevel="1" x14ac:dyDescent="0.2">
      <c r="A56" s="5"/>
      <c r="B56" s="16" t="s">
        <v>214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141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141</v>
      </c>
      <c r="Y56" s="16"/>
      <c r="Z56" s="16"/>
      <c r="AA56" s="16"/>
      <c r="AB56" s="16"/>
    </row>
    <row r="57" spans="1:28" hidden="1" outlineLevel="1" x14ac:dyDescent="0.2">
      <c r="A57" s="5"/>
      <c r="B57" s="16" t="s">
        <v>215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collapsed="1" x14ac:dyDescent="0.2">
      <c r="A58" s="118" t="s">
        <v>216</v>
      </c>
      <c r="B58" s="31" t="s">
        <v>217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218</v>
      </c>
      <c r="B59" s="16" t="s">
        <v>41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42</v>
      </c>
      <c r="B60" s="13" t="s">
        <v>43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44</v>
      </c>
      <c r="B61" s="26" t="s">
        <v>45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hidden="1" outlineLevel="1" x14ac:dyDescent="0.2">
      <c r="A62" s="5"/>
      <c r="B62" s="25" t="s">
        <v>46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hidden="1" outlineLevel="1" x14ac:dyDescent="0.2">
      <c r="A63" s="5"/>
      <c r="B63" s="25" t="s">
        <v>47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hidden="1" outlineLevel="1" x14ac:dyDescent="0.2">
      <c r="A64" s="5"/>
      <c r="B64" s="25" t="s">
        <v>48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AB70" si="31">X64*1.06</f>
        <v>2968.636</v>
      </c>
      <c r="Z64" s="16">
        <f t="shared" si="31"/>
        <v>3146.75416</v>
      </c>
      <c r="AA64" s="16">
        <f t="shared" si="31"/>
        <v>3335.5594096</v>
      </c>
      <c r="AB64" s="16">
        <f t="shared" si="31"/>
        <v>3535.692974176</v>
      </c>
    </row>
    <row r="65" spans="1:28" hidden="1" outlineLevel="1" x14ac:dyDescent="0.2">
      <c r="A65" s="5"/>
      <c r="B65" s="16" t="s">
        <v>49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1"/>
        <v>53.595720000000007</v>
      </c>
      <c r="AA65" s="16">
        <f t="shared" si="31"/>
        <v>56.811463200000013</v>
      </c>
      <c r="AB65" s="16">
        <f t="shared" si="31"/>
        <v>60.220150992000015</v>
      </c>
    </row>
    <row r="66" spans="1:28" hidden="1" outlineLevel="1" x14ac:dyDescent="0.2">
      <c r="A66" s="30"/>
      <c r="B66" s="16" t="s">
        <v>50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1"/>
        <v>169.11303600000002</v>
      </c>
      <c r="AA66" s="16">
        <f t="shared" si="31"/>
        <v>179.25981816000004</v>
      </c>
      <c r="AB66" s="16">
        <f t="shared" si="31"/>
        <v>190.01540724960006</v>
      </c>
    </row>
    <row r="67" spans="1:28" hidden="1" outlineLevel="1" x14ac:dyDescent="0.2">
      <c r="A67" s="30"/>
      <c r="B67" s="25" t="s">
        <v>51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1"/>
        <v>159.95569600000005</v>
      </c>
      <c r="AA67" s="16">
        <f t="shared" si="31"/>
        <v>169.55303776000005</v>
      </c>
      <c r="AB67" s="16">
        <f t="shared" si="31"/>
        <v>179.72622002560007</v>
      </c>
    </row>
    <row r="68" spans="1:28" ht="15" hidden="1" customHeight="1" outlineLevel="1" x14ac:dyDescent="0.2">
      <c r="A68" s="30"/>
      <c r="B68" s="25" t="s">
        <v>52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1"/>
        <v>217.573904</v>
      </c>
      <c r="AA68" s="16">
        <f t="shared" si="31"/>
        <v>230.62833824000001</v>
      </c>
      <c r="AB68" s="16">
        <f t="shared" si="31"/>
        <v>244.46603853440001</v>
      </c>
    </row>
    <row r="69" spans="1:28" ht="15" hidden="1" customHeight="1" outlineLevel="1" x14ac:dyDescent="0.2">
      <c r="A69" s="30"/>
      <c r="B69" s="25" t="s">
        <v>53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1"/>
        <v>510.43462600000009</v>
      </c>
      <c r="AA69" s="16">
        <f t="shared" si="31"/>
        <v>541.06070356000009</v>
      </c>
      <c r="AB69" s="16">
        <f t="shared" si="31"/>
        <v>573.52434577360009</v>
      </c>
    </row>
    <row r="70" spans="1:28" ht="15" hidden="1" customHeight="1" outlineLevel="1" x14ac:dyDescent="0.2">
      <c r="A70" s="30"/>
      <c r="B70" s="25" t="s">
        <v>54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1"/>
        <v>779.92491744000017</v>
      </c>
      <c r="AA70" s="16">
        <f t="shared" si="31"/>
        <v>826.72041248640028</v>
      </c>
      <c r="AB70" s="16">
        <f t="shared" si="31"/>
        <v>876.32363723558433</v>
      </c>
    </row>
    <row r="71" spans="1:28" hidden="1" outlineLevel="1" x14ac:dyDescent="0.2">
      <c r="A71" s="30"/>
      <c r="B71" s="31" t="s">
        <v>55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hidden="1" outlineLevel="1" x14ac:dyDescent="0.2">
      <c r="A72" s="30"/>
      <c r="B72" s="16" t="s">
        <v>56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141</v>
      </c>
      <c r="Q72" s="16"/>
      <c r="R72" s="16"/>
      <c r="S72" s="16"/>
      <c r="T72" s="16"/>
      <c r="U72" s="66">
        <f t="shared" si="4"/>
        <v>76</v>
      </c>
      <c r="W72" s="136"/>
      <c r="X72" s="124" t="s">
        <v>141</v>
      </c>
      <c r="Y72" s="16"/>
      <c r="Z72" s="16"/>
      <c r="AA72" s="16"/>
      <c r="AB72" s="16"/>
    </row>
    <row r="73" spans="1:28" hidden="1" outlineLevel="1" x14ac:dyDescent="0.2">
      <c r="A73" s="30"/>
      <c r="B73" s="16" t="s">
        <v>57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58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2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59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2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60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3">P76+Q76+R76+S76+T76</f>
        <v>0</v>
      </c>
      <c r="P76" s="15"/>
      <c r="Q76" s="16"/>
      <c r="R76" s="16"/>
      <c r="S76" s="16"/>
      <c r="T76" s="16"/>
      <c r="U76" s="66">
        <f t="shared" si="32"/>
        <v>0</v>
      </c>
      <c r="W76" s="136">
        <f t="shared" ref="W76:W83" si="34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61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3"/>
        <v>0</v>
      </c>
      <c r="P77" s="15"/>
      <c r="Q77" s="16"/>
      <c r="R77" s="16"/>
      <c r="S77" s="16"/>
      <c r="T77" s="16"/>
      <c r="U77" s="66">
        <f t="shared" si="32"/>
        <v>0</v>
      </c>
      <c r="W77" s="136">
        <f t="shared" si="34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62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3"/>
        <v>0</v>
      </c>
      <c r="P78" s="15"/>
      <c r="Q78" s="16"/>
      <c r="R78" s="16"/>
      <c r="S78" s="16"/>
      <c r="T78" s="16"/>
      <c r="U78" s="66">
        <f t="shared" si="32"/>
        <v>0</v>
      </c>
      <c r="W78" s="136">
        <f t="shared" si="34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63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3"/>
        <v>0</v>
      </c>
      <c r="P79" s="15"/>
      <c r="Q79" s="16"/>
      <c r="R79" s="16"/>
      <c r="S79" s="16"/>
      <c r="T79" s="16"/>
      <c r="U79" s="66">
        <f t="shared" si="32"/>
        <v>0</v>
      </c>
      <c r="W79" s="136">
        <f t="shared" si="34"/>
        <v>0</v>
      </c>
      <c r="X79" s="15"/>
      <c r="Y79" s="16"/>
      <c r="Z79" s="16"/>
      <c r="AA79" s="16"/>
      <c r="AB79" s="16"/>
    </row>
    <row r="80" spans="1:28" hidden="1" outlineLevel="1" x14ac:dyDescent="0.2">
      <c r="A80" s="30"/>
      <c r="B80" s="16" t="s">
        <v>64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3"/>
        <v>0</v>
      </c>
      <c r="P80" s="124" t="s">
        <v>141</v>
      </c>
      <c r="Q80" s="16"/>
      <c r="R80" s="16"/>
      <c r="S80" s="16"/>
      <c r="T80" s="16"/>
      <c r="U80" s="66">
        <f t="shared" si="32"/>
        <v>335.98</v>
      </c>
      <c r="W80" s="136">
        <f t="shared" si="34"/>
        <v>0</v>
      </c>
      <c r="X80" s="124" t="s">
        <v>141</v>
      </c>
      <c r="Y80" s="16"/>
      <c r="Z80" s="16"/>
      <c r="AA80" s="16"/>
      <c r="AB80" s="16"/>
    </row>
    <row r="81" spans="1:28" hidden="1" outlineLevel="1" x14ac:dyDescent="0.2">
      <c r="A81" s="30"/>
      <c r="B81" s="16" t="s">
        <v>65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3"/>
        <v>0</v>
      </c>
      <c r="P81" s="15"/>
      <c r="Q81" s="16"/>
      <c r="R81" s="16"/>
      <c r="S81" s="16"/>
      <c r="T81" s="16"/>
      <c r="U81" s="66">
        <f t="shared" si="32"/>
        <v>0</v>
      </c>
      <c r="W81" s="136">
        <f t="shared" si="34"/>
        <v>0</v>
      </c>
      <c r="X81" s="15"/>
      <c r="Y81" s="16"/>
      <c r="Z81" s="16"/>
      <c r="AA81" s="16"/>
      <c r="AB81" s="16"/>
    </row>
    <row r="82" spans="1:28" hidden="1" outlineLevel="1" x14ac:dyDescent="0.2">
      <c r="A82" s="30"/>
      <c r="B82" s="16" t="s">
        <v>66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3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2"/>
        <v>-4.2857142972252404E-6</v>
      </c>
      <c r="W82" s="136">
        <f t="shared" si="34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hidden="1" outlineLevel="1" x14ac:dyDescent="0.2">
      <c r="A83" s="30"/>
      <c r="B83" s="16" t="s">
        <v>67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3"/>
        <v>0</v>
      </c>
      <c r="P83" s="15"/>
      <c r="Q83" s="16"/>
      <c r="R83" s="16"/>
      <c r="S83" s="16"/>
      <c r="T83" s="16"/>
      <c r="U83" s="66">
        <f t="shared" si="32"/>
        <v>0</v>
      </c>
      <c r="W83" s="136">
        <f t="shared" si="34"/>
        <v>0</v>
      </c>
      <c r="X83" s="15"/>
      <c r="Y83" s="16"/>
      <c r="Z83" s="16"/>
      <c r="AA83" s="16"/>
      <c r="AB83" s="16"/>
    </row>
    <row r="84" spans="1:28" s="67" customFormat="1" collapsed="1" x14ac:dyDescent="0.2">
      <c r="A84" s="61" t="s">
        <v>68</v>
      </c>
      <c r="B84" s="68" t="s">
        <v>69</v>
      </c>
      <c r="C84" s="69" t="s">
        <v>1</v>
      </c>
      <c r="D84" s="64" t="s">
        <v>2</v>
      </c>
      <c r="E84" s="156">
        <v>381368.34</v>
      </c>
      <c r="F84" s="70">
        <f t="shared" ref="F84:T84" si="35">F85+F113+F121</f>
        <v>282751.91499999998</v>
      </c>
      <c r="G84" s="70">
        <f t="shared" si="35"/>
        <v>274269.908</v>
      </c>
      <c r="H84" s="70"/>
      <c r="I84" s="70">
        <f t="shared" si="35"/>
        <v>2424221.2602088014</v>
      </c>
      <c r="J84" s="70">
        <f t="shared" si="35"/>
        <v>432090.95190771203</v>
      </c>
      <c r="K84" s="70">
        <f t="shared" si="35"/>
        <v>476829.04499701946</v>
      </c>
      <c r="L84" s="70">
        <f t="shared" si="35"/>
        <v>475365.14964083506</v>
      </c>
      <c r="M84" s="70">
        <f t="shared" si="35"/>
        <v>501020.61030292511</v>
      </c>
      <c r="N84" s="70">
        <f t="shared" si="35"/>
        <v>538915.50336030964</v>
      </c>
      <c r="O84" s="148">
        <f t="shared" si="35"/>
        <v>1011730.3952875525</v>
      </c>
      <c r="P84" s="125">
        <f t="shared" si="35"/>
        <v>217083.02776020579</v>
      </c>
      <c r="Q84" s="70">
        <f t="shared" si="35"/>
        <v>243838.30328041821</v>
      </c>
      <c r="R84" s="70">
        <f t="shared" si="35"/>
        <v>216823.79034544327</v>
      </c>
      <c r="S84" s="70">
        <f t="shared" si="35"/>
        <v>215309.14906036988</v>
      </c>
      <c r="T84" s="70">
        <f t="shared" si="35"/>
        <v>224174.1257275854</v>
      </c>
      <c r="U84" s="66">
        <f t="shared" si="32"/>
        <v>215007.92414750624</v>
      </c>
      <c r="W84" s="148">
        <f t="shared" ref="W84:AB84" si="36">W85+W113+W121</f>
        <v>1003617.435912646</v>
      </c>
      <c r="X84" s="125">
        <f t="shared" si="36"/>
        <v>215964.86777743709</v>
      </c>
      <c r="Y84" s="70">
        <f t="shared" si="36"/>
        <v>242653.05369868327</v>
      </c>
      <c r="Z84" s="70">
        <f t="shared" si="36"/>
        <v>215567.42578880431</v>
      </c>
      <c r="AA84" s="70">
        <f t="shared" si="36"/>
        <v>213977.4026303326</v>
      </c>
      <c r="AB84" s="70">
        <f t="shared" si="36"/>
        <v>222762.47451174582</v>
      </c>
    </row>
    <row r="85" spans="1:28" s="2" customFormat="1" ht="31.5" x14ac:dyDescent="0.2">
      <c r="A85" s="7" t="s">
        <v>192</v>
      </c>
      <c r="B85" s="26" t="s">
        <v>70</v>
      </c>
      <c r="C85" s="14" t="s">
        <v>1</v>
      </c>
      <c r="D85" s="10" t="s">
        <v>2</v>
      </c>
      <c r="E85" s="10"/>
      <c r="F85" s="21">
        <f t="shared" ref="F85:T85" si="37">F86+F89+F90+F99</f>
        <v>132091.18599999999</v>
      </c>
      <c r="G85" s="21">
        <f t="shared" si="37"/>
        <v>132157.022</v>
      </c>
      <c r="H85" s="21"/>
      <c r="I85" s="21">
        <f t="shared" si="37"/>
        <v>2280735.9431958967</v>
      </c>
      <c r="J85" s="21">
        <f t="shared" si="37"/>
        <v>357988.61516741454</v>
      </c>
      <c r="K85" s="21">
        <f t="shared" si="37"/>
        <v>441986.51527082967</v>
      </c>
      <c r="L85" s="21">
        <f t="shared" si="37"/>
        <v>464533.68440998346</v>
      </c>
      <c r="M85" s="21">
        <f t="shared" si="37"/>
        <v>489559.55181707913</v>
      </c>
      <c r="N85" s="21">
        <f t="shared" si="37"/>
        <v>526667.57653059007</v>
      </c>
      <c r="O85" s="148">
        <f t="shared" si="37"/>
        <v>977867.74423124467</v>
      </c>
      <c r="P85" s="12">
        <f t="shared" si="37"/>
        <v>146509.15252620581</v>
      </c>
      <c r="Q85" s="21">
        <f t="shared" si="37"/>
        <v>212641.55433337818</v>
      </c>
      <c r="R85" s="21">
        <f t="shared" si="37"/>
        <v>210011.35016618087</v>
      </c>
      <c r="S85" s="21">
        <f t="shared" si="37"/>
        <v>208143.20088755173</v>
      </c>
      <c r="T85" s="21">
        <f t="shared" si="37"/>
        <v>216564.27732439816</v>
      </c>
      <c r="U85" s="66">
        <f t="shared" si="32"/>
        <v>211479.46264120872</v>
      </c>
      <c r="W85" s="148">
        <f t="shared" ref="W85:AB85" si="38">W86+W89+W90+W99</f>
        <v>947165.36336628278</v>
      </c>
      <c r="X85" s="12">
        <f t="shared" si="38"/>
        <v>141383.71048327829</v>
      </c>
      <c r="Y85" s="21">
        <f t="shared" si="38"/>
        <v>207208.58576787496</v>
      </c>
      <c r="Z85" s="21">
        <f t="shared" si="38"/>
        <v>204252.40348674747</v>
      </c>
      <c r="AA85" s="21">
        <f t="shared" si="38"/>
        <v>202038.71740735235</v>
      </c>
      <c r="AB85" s="21">
        <f t="shared" si="38"/>
        <v>210093.52483538678</v>
      </c>
    </row>
    <row r="86" spans="1:28" s="23" customFormat="1" ht="31.5" x14ac:dyDescent="0.2">
      <c r="A86" s="5" t="s">
        <v>71</v>
      </c>
      <c r="B86" s="13" t="s">
        <v>72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2"/>
        <v>144023.781077616</v>
      </c>
      <c r="V86" s="23">
        <f>P86/J86*100-100</f>
        <v>-59.859660077790181</v>
      </c>
      <c r="W86" s="136">
        <f>X86+Y86+Z86+AA86+AB86</f>
        <v>513606.2966606894</v>
      </c>
      <c r="X86" s="15">
        <f>X87*X88*12/1000</f>
        <v>91111.908266400016</v>
      </c>
      <c r="Y86" s="16">
        <f>Y87*Y88*12/1000</f>
        <v>96578.62276238401</v>
      </c>
      <c r="Z86" s="16">
        <f>Z87*Z88*12/1000</f>
        <v>102373.34012812706</v>
      </c>
      <c r="AA86" s="16">
        <f>AA87*AA88*12/1000</f>
        <v>108515.74053581469</v>
      </c>
      <c r="AB86" s="16">
        <f>AB87*AB88*12/1000</f>
        <v>115026.68496796358</v>
      </c>
    </row>
    <row r="87" spans="1:28" s="23" customFormat="1" x14ac:dyDescent="0.2">
      <c r="A87" s="5"/>
      <c r="B87" s="13" t="s">
        <v>140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</f>
        <v>143257.71740000002</v>
      </c>
      <c r="Y87" s="16">
        <f>X87*1.06</f>
        <v>151853.18044400003</v>
      </c>
      <c r="Z87" s="16">
        <f>Y87*1.06</f>
        <v>160964.37127064003</v>
      </c>
      <c r="AA87" s="16">
        <f>Z87*1.06</f>
        <v>170622.23354687844</v>
      </c>
      <c r="AB87" s="16">
        <f>AA87*1.06</f>
        <v>180859.56755969115</v>
      </c>
    </row>
    <row r="88" spans="1:28" s="23" customFormat="1" x14ac:dyDescent="0.2">
      <c r="A88" s="5"/>
      <c r="B88" s="13" t="s">
        <v>139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73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2"/>
        <v>14258.353973610381</v>
      </c>
      <c r="W89" s="136">
        <f>X89+Y89+Z89+AA89+AB89</f>
        <v>50847.023369408242</v>
      </c>
      <c r="X89" s="15">
        <f>X86*0.099</f>
        <v>9020.0789183736015</v>
      </c>
      <c r="Y89" s="16">
        <f>Y86*0.099</f>
        <v>9561.2836534760172</v>
      </c>
      <c r="Z89" s="16">
        <f>Z86*0.099</f>
        <v>10134.96067268458</v>
      </c>
      <c r="AA89" s="16">
        <f>AA86*0.099</f>
        <v>10743.058313045654</v>
      </c>
      <c r="AB89" s="16">
        <f>AB86*0.099</f>
        <v>11387.641811828395</v>
      </c>
    </row>
    <row r="90" spans="1:28" x14ac:dyDescent="0.2">
      <c r="A90" s="5" t="s">
        <v>74</v>
      </c>
      <c r="B90" s="31" t="s">
        <v>75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39">G92+G93+G97+G98+G96</f>
        <v>10987.606</v>
      </c>
      <c r="H90" s="17">
        <v>12543</v>
      </c>
      <c r="I90" s="17">
        <f t="shared" si="39"/>
        <v>286049.86503193877</v>
      </c>
      <c r="J90" s="17">
        <f>J92+J93+J97+J98+J96</f>
        <v>13214.012816485501</v>
      </c>
      <c r="K90" s="17">
        <f t="shared" si="39"/>
        <v>80246.772357084497</v>
      </c>
      <c r="L90" s="17">
        <f t="shared" si="39"/>
        <v>71118.683919557749</v>
      </c>
      <c r="M90" s="17">
        <f t="shared" si="39"/>
        <v>61874.782349803812</v>
      </c>
      <c r="N90" s="17">
        <f t="shared" si="39"/>
        <v>59595.613589007211</v>
      </c>
      <c r="O90" s="150">
        <f t="shared" si="39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hidden="1" outlineLevel="1" x14ac:dyDescent="0.2">
      <c r="A91" s="5"/>
      <c r="B91" s="16" t="s">
        <v>194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hidden="1" outlineLevel="1" x14ac:dyDescent="0.2">
      <c r="A92" s="5"/>
      <c r="B92" s="16" t="s">
        <v>76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hidden="1" outlineLevel="1" x14ac:dyDescent="0.2">
      <c r="A93" s="5"/>
      <c r="B93" s="16" t="s">
        <v>77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0">G94+G95</f>
        <v>2678.607</v>
      </c>
      <c r="H93" s="17"/>
      <c r="I93" s="17">
        <f t="shared" si="40"/>
        <v>16478.397229393217</v>
      </c>
      <c r="J93" s="17">
        <f t="shared" si="40"/>
        <v>2865.4399375000003</v>
      </c>
      <c r="K93" s="17">
        <f t="shared" si="40"/>
        <v>3066.0207331250003</v>
      </c>
      <c r="L93" s="17">
        <f t="shared" si="40"/>
        <v>3280.6421844437509</v>
      </c>
      <c r="M93" s="17">
        <f t="shared" si="40"/>
        <v>3510.2871373548132</v>
      </c>
      <c r="N93" s="17">
        <f t="shared" si="40"/>
        <v>3756.0072369696504</v>
      </c>
      <c r="O93" s="150">
        <f t="shared" si="40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143</v>
      </c>
      <c r="B94" s="136" t="s">
        <v>78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144</v>
      </c>
      <c r="B95" s="136" t="s">
        <v>79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hidden="1" outlineLevel="1" x14ac:dyDescent="0.2">
      <c r="A96" s="5"/>
      <c r="B96" s="16" t="s">
        <v>80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hidden="1" outlineLevel="1" x14ac:dyDescent="0.2">
      <c r="A97" s="5"/>
      <c r="B97" s="16" t="s">
        <v>81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hidden="1" outlineLevel="1" x14ac:dyDescent="0.2">
      <c r="A98" s="5"/>
      <c r="B98" s="16" t="s">
        <v>82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collapsed="1" x14ac:dyDescent="0.2">
      <c r="A99" s="7" t="s">
        <v>83</v>
      </c>
      <c r="B99" s="21" t="s">
        <v>84</v>
      </c>
      <c r="C99" s="9" t="s">
        <v>85</v>
      </c>
      <c r="D99" s="134" t="s">
        <v>2</v>
      </c>
      <c r="E99" s="134"/>
      <c r="F99" s="21">
        <f t="shared" ref="F99:O99" si="41">F100+F103+F104+F105+F106+F107+F108+F109+F110+F111+F112</f>
        <v>26745.875</v>
      </c>
      <c r="G99" s="21">
        <f t="shared" si="41"/>
        <v>24732.883000000005</v>
      </c>
      <c r="H99" s="21"/>
      <c r="I99" s="21">
        <f t="shared" si="41"/>
        <v>397941.51631772186</v>
      </c>
      <c r="J99" s="21">
        <f t="shared" si="41"/>
        <v>80352.560883842641</v>
      </c>
      <c r="K99" s="21">
        <f t="shared" si="41"/>
        <v>73070.430843911643</v>
      </c>
      <c r="L99" s="21">
        <f t="shared" si="41"/>
        <v>76071.952239585444</v>
      </c>
      <c r="M99" s="21">
        <f t="shared" si="41"/>
        <v>80446.34099965643</v>
      </c>
      <c r="N99" s="21">
        <f t="shared" si="41"/>
        <v>88000.231350725706</v>
      </c>
      <c r="O99" s="148">
        <f t="shared" si="41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86</v>
      </c>
      <c r="B100" s="31" t="s">
        <v>87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2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3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4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2"/>
        <v>0</v>
      </c>
      <c r="J101" s="16"/>
      <c r="K101" s="16"/>
      <c r="L101" s="16"/>
      <c r="M101" s="16"/>
      <c r="N101" s="16"/>
      <c r="O101" s="136">
        <f t="shared" si="43"/>
        <v>0</v>
      </c>
      <c r="P101" s="15"/>
      <c r="Q101" s="16"/>
      <c r="R101" s="16"/>
      <c r="S101" s="16"/>
      <c r="T101" s="16"/>
      <c r="U101" s="66"/>
      <c r="W101" s="136">
        <f t="shared" si="44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2"/>
        <v>0</v>
      </c>
      <c r="J102" s="16"/>
      <c r="K102" s="16"/>
      <c r="L102" s="16"/>
      <c r="M102" s="16"/>
      <c r="N102" s="16"/>
      <c r="O102" s="136">
        <f t="shared" si="43"/>
        <v>0</v>
      </c>
      <c r="P102" s="15"/>
      <c r="Q102" s="16"/>
      <c r="R102" s="16"/>
      <c r="S102" s="16"/>
      <c r="T102" s="16"/>
      <c r="U102" s="66"/>
      <c r="W102" s="136">
        <f t="shared" si="44"/>
        <v>0</v>
      </c>
      <c r="X102" s="15"/>
      <c r="Y102" s="16"/>
      <c r="Z102" s="16"/>
      <c r="AA102" s="16"/>
      <c r="AB102" s="16"/>
    </row>
    <row r="103" spans="1:28" hidden="1" collapsed="1" x14ac:dyDescent="0.2">
      <c r="A103" s="5" t="s">
        <v>88</v>
      </c>
      <c r="B103" s="16" t="s">
        <v>89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2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3"/>
        <v>24569.145650114882</v>
      </c>
      <c r="P103" s="15">
        <v>4358.4780000000001</v>
      </c>
      <c r="Q103" s="16">
        <f>P103*1.06</f>
        <v>4619.98668</v>
      </c>
      <c r="R103" s="16">
        <f t="shared" ref="R103:T105" si="45">Q103*1.06</f>
        <v>4897.1858808000006</v>
      </c>
      <c r="S103" s="16">
        <f t="shared" si="45"/>
        <v>5191.0170336480005</v>
      </c>
      <c r="T103" s="16">
        <f t="shared" si="45"/>
        <v>5502.4780556668811</v>
      </c>
      <c r="U103" s="66"/>
      <c r="W103" s="136">
        <f t="shared" si="44"/>
        <v>24569.145650114882</v>
      </c>
      <c r="X103" s="15">
        <v>4358.4780000000001</v>
      </c>
      <c r="Y103" s="16">
        <f>X103*1.06</f>
        <v>4619.98668</v>
      </c>
      <c r="Z103" s="16">
        <f t="shared" ref="Z103:AB105" si="46">Y103*1.06</f>
        <v>4897.1858808000006</v>
      </c>
      <c r="AA103" s="16">
        <f t="shared" si="46"/>
        <v>5191.0170336480005</v>
      </c>
      <c r="AB103" s="16">
        <f t="shared" si="46"/>
        <v>5502.4780556668811</v>
      </c>
    </row>
    <row r="104" spans="1:28" ht="31.5" hidden="1" x14ac:dyDescent="0.2">
      <c r="A104" s="5" t="s">
        <v>90</v>
      </c>
      <c r="B104" s="13" t="s">
        <v>91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2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3"/>
        <v>15302.565291075203</v>
      </c>
      <c r="P104" s="15">
        <v>2714.62</v>
      </c>
      <c r="Q104" s="16">
        <f>P104*1.06</f>
        <v>2877.4972000000002</v>
      </c>
      <c r="R104" s="16">
        <f t="shared" si="45"/>
        <v>3050.1470320000003</v>
      </c>
      <c r="S104" s="16">
        <f t="shared" si="45"/>
        <v>3233.1558539200005</v>
      </c>
      <c r="T104" s="16">
        <f t="shared" si="45"/>
        <v>3427.1452051552005</v>
      </c>
      <c r="U104" s="66"/>
      <c r="W104" s="136">
        <f t="shared" si="44"/>
        <v>15302.565291075203</v>
      </c>
      <c r="X104" s="15">
        <v>2714.62</v>
      </c>
      <c r="Y104" s="16">
        <f>X104*1.06</f>
        <v>2877.4972000000002</v>
      </c>
      <c r="Z104" s="16">
        <f t="shared" si="46"/>
        <v>3050.1470320000003</v>
      </c>
      <c r="AA104" s="16">
        <f t="shared" si="46"/>
        <v>3233.1558539200005</v>
      </c>
      <c r="AB104" s="16">
        <f t="shared" si="46"/>
        <v>3427.1452051552005</v>
      </c>
    </row>
    <row r="105" spans="1:28" hidden="1" x14ac:dyDescent="0.2">
      <c r="A105" s="5" t="s">
        <v>92</v>
      </c>
      <c r="B105" s="16" t="s">
        <v>204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2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3"/>
        <v>7116.1928704955208</v>
      </c>
      <c r="P105" s="15">
        <v>1262.3869999999999</v>
      </c>
      <c r="Q105" s="16">
        <f>P105*1.06</f>
        <v>1338.13022</v>
      </c>
      <c r="R105" s="16">
        <f t="shared" si="45"/>
        <v>1418.4180332000001</v>
      </c>
      <c r="S105" s="16">
        <f t="shared" si="45"/>
        <v>1503.5231151920002</v>
      </c>
      <c r="T105" s="16">
        <f t="shared" si="45"/>
        <v>1593.7345021035203</v>
      </c>
      <c r="U105" s="66"/>
      <c r="W105" s="136">
        <f t="shared" si="44"/>
        <v>7116.1928704955208</v>
      </c>
      <c r="X105" s="15">
        <v>1262.3869999999999</v>
      </c>
      <c r="Y105" s="16">
        <f>X105*1.06</f>
        <v>1338.13022</v>
      </c>
      <c r="Z105" s="16">
        <f t="shared" si="46"/>
        <v>1418.4180332000001</v>
      </c>
      <c r="AA105" s="16">
        <f t="shared" si="46"/>
        <v>1503.5231151920002</v>
      </c>
      <c r="AB105" s="16">
        <f t="shared" si="46"/>
        <v>1593.7345021035203</v>
      </c>
    </row>
    <row r="106" spans="1:28" hidden="1" x14ac:dyDescent="0.2">
      <c r="A106" s="5" t="s">
        <v>93</v>
      </c>
      <c r="B106" s="16" t="s">
        <v>206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2"/>
        <v>0</v>
      </c>
      <c r="J106" s="16"/>
      <c r="K106" s="16"/>
      <c r="L106" s="16"/>
      <c r="M106" s="16"/>
      <c r="N106" s="16"/>
      <c r="O106" s="136">
        <f t="shared" si="43"/>
        <v>0</v>
      </c>
      <c r="P106" s="132"/>
      <c r="Q106" s="16"/>
      <c r="R106" s="16"/>
      <c r="S106" s="16"/>
      <c r="T106" s="16"/>
      <c r="U106" s="66"/>
      <c r="W106" s="136">
        <f t="shared" si="44"/>
        <v>0</v>
      </c>
      <c r="X106" s="132"/>
      <c r="Y106" s="16"/>
      <c r="Z106" s="16"/>
      <c r="AA106" s="16"/>
      <c r="AB106" s="16"/>
    </row>
    <row r="107" spans="1:28" hidden="1" x14ac:dyDescent="0.2">
      <c r="A107" s="5" t="s">
        <v>94</v>
      </c>
      <c r="B107" s="16" t="s">
        <v>43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2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3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4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hidden="1" x14ac:dyDescent="0.2">
      <c r="A108" s="5" t="s">
        <v>95</v>
      </c>
      <c r="B108" s="16" t="s">
        <v>219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2"/>
        <v>9609.67</v>
      </c>
      <c r="J108" s="16">
        <v>9609.67</v>
      </c>
      <c r="K108" s="16"/>
      <c r="L108" s="16"/>
      <c r="M108" s="16"/>
      <c r="N108" s="16"/>
      <c r="O108" s="136">
        <f t="shared" si="43"/>
        <v>5999</v>
      </c>
      <c r="P108" s="15">
        <v>5999</v>
      </c>
      <c r="Q108" s="124" t="s">
        <v>141</v>
      </c>
      <c r="R108" s="16"/>
      <c r="S108" s="16"/>
      <c r="T108" s="16"/>
      <c r="U108" s="66"/>
      <c r="W108" s="136">
        <f t="shared" si="44"/>
        <v>5999</v>
      </c>
      <c r="X108" s="15">
        <v>5999</v>
      </c>
      <c r="Y108" s="124" t="s">
        <v>141</v>
      </c>
      <c r="Z108" s="16"/>
      <c r="AA108" s="16"/>
      <c r="AB108" s="16"/>
    </row>
    <row r="109" spans="1:28" hidden="1" x14ac:dyDescent="0.2">
      <c r="A109" s="5" t="s">
        <v>220</v>
      </c>
      <c r="B109" s="16" t="s">
        <v>221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2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3"/>
        <v>1378</v>
      </c>
      <c r="P109" s="132">
        <f>1300*1.06</f>
        <v>1378</v>
      </c>
      <c r="Q109" s="124" t="s">
        <v>141</v>
      </c>
      <c r="R109" s="16"/>
      <c r="S109" s="16"/>
      <c r="T109" s="16"/>
      <c r="U109" s="66"/>
      <c r="W109" s="136">
        <f t="shared" si="44"/>
        <v>1378</v>
      </c>
      <c r="X109" s="132">
        <f>1300*1.06</f>
        <v>1378</v>
      </c>
      <c r="Y109" s="124" t="s">
        <v>141</v>
      </c>
      <c r="Z109" s="16"/>
      <c r="AA109" s="16"/>
      <c r="AB109" s="16"/>
    </row>
    <row r="110" spans="1:28" hidden="1" x14ac:dyDescent="0.2">
      <c r="A110" s="5" t="s">
        <v>222</v>
      </c>
      <c r="B110" s="16" t="s">
        <v>223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2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3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47">Q110*1.06</f>
        <v>618.62633516960022</v>
      </c>
      <c r="S110" s="16">
        <f t="shared" si="47"/>
        <v>655.74391527977627</v>
      </c>
      <c r="T110" s="16">
        <f t="shared" si="47"/>
        <v>695.08855019656289</v>
      </c>
      <c r="U110" s="66"/>
      <c r="W110" s="136">
        <f t="shared" si="44"/>
        <v>3103.6437868059402</v>
      </c>
      <c r="X110" s="132">
        <f>490.01*1.06*1.06</f>
        <v>550.57523600000013</v>
      </c>
      <c r="Y110" s="16">
        <f>X110*1.06</f>
        <v>583.6097501600002</v>
      </c>
      <c r="Z110" s="16">
        <f t="shared" ref="Z110:AB111" si="48">Y110*1.06</f>
        <v>618.62633516960022</v>
      </c>
      <c r="AA110" s="16">
        <f t="shared" si="48"/>
        <v>655.74391527977627</v>
      </c>
      <c r="AB110" s="16">
        <f t="shared" si="48"/>
        <v>695.08855019656289</v>
      </c>
    </row>
    <row r="111" spans="1:28" hidden="1" x14ac:dyDescent="0.2">
      <c r="A111" s="5" t="s">
        <v>224</v>
      </c>
      <c r="B111" s="13" t="s">
        <v>225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2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3"/>
        <v>1766.5521918047998</v>
      </c>
      <c r="P111" s="15">
        <v>313.38</v>
      </c>
      <c r="Q111" s="16">
        <f>P111*1.06</f>
        <v>332.18279999999999</v>
      </c>
      <c r="R111" s="16">
        <f t="shared" si="47"/>
        <v>352.11376799999999</v>
      </c>
      <c r="S111" s="16">
        <f t="shared" si="47"/>
        <v>373.24059407999999</v>
      </c>
      <c r="T111" s="16">
        <f t="shared" si="47"/>
        <v>395.63502972480001</v>
      </c>
      <c r="U111" s="66"/>
      <c r="W111" s="136">
        <f t="shared" si="44"/>
        <v>1766.5521918047998</v>
      </c>
      <c r="X111" s="15">
        <v>313.38</v>
      </c>
      <c r="Y111" s="16">
        <f>X111*1.06</f>
        <v>332.18279999999999</v>
      </c>
      <c r="Z111" s="16">
        <f t="shared" si="48"/>
        <v>352.11376799999999</v>
      </c>
      <c r="AA111" s="16">
        <f t="shared" si="48"/>
        <v>373.24059407999999</v>
      </c>
      <c r="AB111" s="16">
        <f t="shared" si="48"/>
        <v>395.63502972480001</v>
      </c>
    </row>
    <row r="112" spans="1:28" hidden="1" x14ac:dyDescent="0.2">
      <c r="A112" s="5" t="s">
        <v>226</v>
      </c>
      <c r="B112" s="16" t="s">
        <v>67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2"/>
        <v>0</v>
      </c>
      <c r="J112" s="16"/>
      <c r="K112" s="16"/>
      <c r="L112" s="16"/>
      <c r="M112" s="16"/>
      <c r="N112" s="16"/>
      <c r="O112" s="136">
        <f t="shared" si="43"/>
        <v>0</v>
      </c>
      <c r="P112" s="15"/>
      <c r="Q112" s="16"/>
      <c r="R112" s="16"/>
      <c r="S112" s="16"/>
      <c r="T112" s="16"/>
      <c r="U112" s="66"/>
      <c r="W112" s="136">
        <f t="shared" si="44"/>
        <v>0</v>
      </c>
      <c r="X112" s="15"/>
      <c r="Y112" s="16"/>
      <c r="Z112" s="16"/>
      <c r="AA112" s="16"/>
      <c r="AB112" s="16"/>
    </row>
    <row r="113" spans="1:28" x14ac:dyDescent="0.2">
      <c r="A113" s="5" t="s">
        <v>227</v>
      </c>
      <c r="B113" s="21" t="s">
        <v>96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49">G114+G115+G116+G117+G118+G119+G120</f>
        <v>8555.8919999999998</v>
      </c>
      <c r="H113" s="15"/>
      <c r="I113" s="16">
        <f t="shared" si="42"/>
        <v>53989.107132904501</v>
      </c>
      <c r="J113" s="12">
        <f t="shared" si="49"/>
        <v>9512.700390297523</v>
      </c>
      <c r="K113" s="12">
        <f t="shared" si="49"/>
        <v>10000.361816189779</v>
      </c>
      <c r="L113" s="12">
        <f t="shared" si="49"/>
        <v>10767.059610851637</v>
      </c>
      <c r="M113" s="12">
        <f t="shared" si="49"/>
        <v>11461.058485845964</v>
      </c>
      <c r="N113" s="12">
        <f t="shared" si="49"/>
        <v>12247.926829719594</v>
      </c>
      <c r="O113" s="148">
        <f t="shared" si="43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4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hidden="1" x14ac:dyDescent="0.2">
      <c r="A114" s="5" t="s">
        <v>97</v>
      </c>
      <c r="B114" s="13" t="s">
        <v>98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2"/>
        <v>0</v>
      </c>
      <c r="J114" s="16"/>
      <c r="K114" s="16"/>
      <c r="L114" s="16"/>
      <c r="M114" s="16"/>
      <c r="N114" s="16"/>
      <c r="O114" s="136">
        <f t="shared" si="43"/>
        <v>0</v>
      </c>
      <c r="P114" s="15"/>
      <c r="Q114" s="16"/>
      <c r="R114" s="16"/>
      <c r="S114" s="16"/>
      <c r="T114" s="16"/>
      <c r="U114" s="66"/>
      <c r="W114" s="136">
        <f t="shared" si="44"/>
        <v>0</v>
      </c>
      <c r="X114" s="15"/>
      <c r="Y114" s="16"/>
      <c r="Z114" s="16"/>
      <c r="AA114" s="16"/>
      <c r="AB114" s="16"/>
    </row>
    <row r="115" spans="1:28" hidden="1" x14ac:dyDescent="0.2">
      <c r="A115" s="5" t="s">
        <v>99</v>
      </c>
      <c r="B115" s="13" t="s">
        <v>202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2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3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0">Q115*1.06</f>
        <v>1943.5580303808006</v>
      </c>
      <c r="S115" s="16">
        <f t="shared" si="50"/>
        <v>2060.1715122036485</v>
      </c>
      <c r="T115" s="16">
        <f t="shared" si="50"/>
        <v>2183.7818029358673</v>
      </c>
      <c r="U115" s="66"/>
      <c r="W115" s="136">
        <f t="shared" si="44"/>
        <v>9750.8163852003163</v>
      </c>
      <c r="X115" s="119">
        <f>1539.48*1.06*1.06</f>
        <v>1729.7597280000002</v>
      </c>
      <c r="Y115" s="16">
        <f>X115*1.06</f>
        <v>1833.5453116800004</v>
      </c>
      <c r="Z115" s="16">
        <f t="shared" ref="Z115:AB117" si="51">Y115*1.06</f>
        <v>1943.5580303808006</v>
      </c>
      <c r="AA115" s="16">
        <f t="shared" si="51"/>
        <v>2060.1715122036485</v>
      </c>
      <c r="AB115" s="16">
        <f t="shared" si="51"/>
        <v>2183.7818029358673</v>
      </c>
    </row>
    <row r="116" spans="1:28" hidden="1" x14ac:dyDescent="0.2">
      <c r="A116" s="5" t="s">
        <v>100</v>
      </c>
      <c r="B116" s="25" t="s">
        <v>101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2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3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0"/>
        <v>723.82096538463998</v>
      </c>
      <c r="S116" s="16">
        <f t="shared" si="50"/>
        <v>767.25022330771844</v>
      </c>
      <c r="T116" s="16">
        <f t="shared" si="50"/>
        <v>813.28523670618154</v>
      </c>
      <c r="U116" s="66"/>
      <c r="W116" s="136">
        <f t="shared" si="44"/>
        <v>6394.148822802631</v>
      </c>
      <c r="X116" s="15">
        <f>N116*1.06*1.06</f>
        <v>1134.2989849865153</v>
      </c>
      <c r="Y116" s="16">
        <f>X116*1.06</f>
        <v>1202.3569240857062</v>
      </c>
      <c r="Z116" s="16">
        <f t="shared" si="51"/>
        <v>1274.4983395308486</v>
      </c>
      <c r="AA116" s="16">
        <f t="shared" si="51"/>
        <v>1350.9682399026997</v>
      </c>
      <c r="AB116" s="16">
        <f t="shared" si="51"/>
        <v>1432.0263342968617</v>
      </c>
    </row>
    <row r="117" spans="1:28" hidden="1" x14ac:dyDescent="0.2">
      <c r="A117" s="5" t="s">
        <v>102</v>
      </c>
      <c r="B117" s="16" t="s">
        <v>103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2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0"/>
        <v>1447.2732874969604</v>
      </c>
      <c r="S117" s="16">
        <f t="shared" si="50"/>
        <v>1534.1096847467782</v>
      </c>
      <c r="T117" s="16">
        <f t="shared" si="50"/>
        <v>1626.156265831585</v>
      </c>
      <c r="U117" s="66"/>
      <c r="W117" s="136"/>
      <c r="X117" s="16">
        <f>N117*1.06*1.06</f>
        <v>4805.2492311722781</v>
      </c>
      <c r="Y117" s="16">
        <f>X117*1.06</f>
        <v>5093.5641850426155</v>
      </c>
      <c r="Z117" s="16">
        <f t="shared" si="51"/>
        <v>5399.1780361451729</v>
      </c>
      <c r="AA117" s="16">
        <f t="shared" si="51"/>
        <v>5723.1287183138838</v>
      </c>
      <c r="AB117" s="16">
        <f t="shared" si="51"/>
        <v>6066.5164414127175</v>
      </c>
    </row>
    <row r="118" spans="1:28" hidden="1" x14ac:dyDescent="0.2">
      <c r="A118" s="5" t="s">
        <v>104</v>
      </c>
      <c r="B118" s="16" t="s">
        <v>105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2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3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hidden="1" x14ac:dyDescent="0.2">
      <c r="A119" s="5" t="s">
        <v>106</v>
      </c>
      <c r="B119" s="16" t="s">
        <v>107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2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2">Q119*1.06</f>
        <v>965.75667200000009</v>
      </c>
      <c r="S119" s="16">
        <f t="shared" si="52"/>
        <v>1023.7020723200002</v>
      </c>
      <c r="T119" s="16">
        <f t="shared" si="52"/>
        <v>1085.1241966592002</v>
      </c>
      <c r="U119" s="66"/>
      <c r="W119" s="136"/>
      <c r="X119" s="119">
        <v>859.52</v>
      </c>
      <c r="Y119" s="16">
        <f>X119*1.06</f>
        <v>911.09120000000007</v>
      </c>
      <c r="Z119" s="16">
        <f t="shared" ref="Z119:AB120" si="53">Y119*1.06</f>
        <v>965.75667200000009</v>
      </c>
      <c r="AA119" s="16">
        <f t="shared" si="53"/>
        <v>1023.7020723200002</v>
      </c>
      <c r="AB119" s="16">
        <f t="shared" si="53"/>
        <v>1085.1241966592002</v>
      </c>
    </row>
    <row r="120" spans="1:28" hidden="1" x14ac:dyDescent="0.2">
      <c r="A120" s="5" t="s">
        <v>108</v>
      </c>
      <c r="B120" s="16" t="s">
        <v>109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2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2"/>
        <v>364.48460400000005</v>
      </c>
      <c r="S120" s="16">
        <f t="shared" si="52"/>
        <v>386.35368024000007</v>
      </c>
      <c r="T120" s="16">
        <f t="shared" si="52"/>
        <v>409.53490105440011</v>
      </c>
      <c r="U120" s="66"/>
      <c r="W120" s="136"/>
      <c r="X120" s="15">
        <v>324.39</v>
      </c>
      <c r="Y120" s="16">
        <f>X120*1.06</f>
        <v>343.85340000000002</v>
      </c>
      <c r="Z120" s="16">
        <f t="shared" si="53"/>
        <v>364.48460400000005</v>
      </c>
      <c r="AA120" s="16">
        <f t="shared" si="53"/>
        <v>386.35368024000007</v>
      </c>
      <c r="AB120" s="16">
        <f t="shared" si="53"/>
        <v>409.53490105440011</v>
      </c>
    </row>
    <row r="121" spans="1:28" s="2" customFormat="1" ht="31.5" x14ac:dyDescent="0.2">
      <c r="A121" s="7" t="s">
        <v>199</v>
      </c>
      <c r="B121" s="21" t="s">
        <v>110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2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111</v>
      </c>
      <c r="B122" s="20" t="s">
        <v>112</v>
      </c>
      <c r="C122" s="14" t="s">
        <v>1</v>
      </c>
      <c r="D122" s="10" t="s">
        <v>2</v>
      </c>
      <c r="E122" s="134">
        <v>1716695.49</v>
      </c>
      <c r="F122" s="11">
        <f t="shared" ref="F122:T122" si="54">F8+F84</f>
        <v>2082625.48694</v>
      </c>
      <c r="G122" s="11">
        <f t="shared" si="54"/>
        <v>2140676.4469999997</v>
      </c>
      <c r="H122" s="11">
        <f>1053292.07+323800+696578.8</f>
        <v>2073670.87</v>
      </c>
      <c r="I122" s="11">
        <f t="shared" si="54"/>
        <v>24892879.242495053</v>
      </c>
      <c r="J122" s="11">
        <f t="shared" si="54"/>
        <v>4033478.4947292558</v>
      </c>
      <c r="K122" s="11">
        <f t="shared" si="54"/>
        <v>4492082.0371057801</v>
      </c>
      <c r="L122" s="11">
        <f t="shared" si="54"/>
        <v>4905563.4353519948</v>
      </c>
      <c r="M122" s="11">
        <f t="shared" si="54"/>
        <v>5434021.5302000716</v>
      </c>
      <c r="N122" s="11">
        <f t="shared" si="54"/>
        <v>6029728.301107958</v>
      </c>
      <c r="O122" s="104">
        <f t="shared" si="54"/>
        <v>11285083.635795787</v>
      </c>
      <c r="P122" s="11">
        <f t="shared" si="54"/>
        <v>2419054.0709516793</v>
      </c>
      <c r="Q122" s="11">
        <f t="shared" si="54"/>
        <v>2665840.7666426497</v>
      </c>
      <c r="R122" s="11">
        <f t="shared" si="54"/>
        <v>2852013.5804004488</v>
      </c>
      <c r="S122" s="11">
        <f t="shared" si="54"/>
        <v>3083176.5243163933</v>
      </c>
      <c r="T122" s="11">
        <f t="shared" si="54"/>
        <v>3372979.2486380348</v>
      </c>
      <c r="U122" s="66"/>
      <c r="W122" s="104">
        <f t="shared" ref="W122:AB122" si="55">W8+W84</f>
        <v>11560828.771966804</v>
      </c>
      <c r="X122" s="11">
        <f t="shared" si="55"/>
        <v>2465145.5447215205</v>
      </c>
      <c r="Y122" s="11">
        <f t="shared" si="55"/>
        <v>2716674.6466586809</v>
      </c>
      <c r="Z122" s="11">
        <f t="shared" si="55"/>
        <v>2907617.0625988459</v>
      </c>
      <c r="AA122" s="11">
        <f t="shared" si="55"/>
        <v>3144098.3603861686</v>
      </c>
      <c r="AB122" s="11">
        <f t="shared" si="55"/>
        <v>3437083.5003628926</v>
      </c>
    </row>
    <row r="123" spans="1:28" s="55" customFormat="1" x14ac:dyDescent="0.2">
      <c r="A123" s="52" t="s">
        <v>113</v>
      </c>
      <c r="B123" s="53" t="s">
        <v>114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115</v>
      </c>
      <c r="B124" s="20" t="s">
        <v>116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117</v>
      </c>
      <c r="B125" s="20" t="s">
        <v>228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2669037.4847215204</v>
      </c>
      <c r="Y125" s="12">
        <f>Y122+Y123</f>
        <v>2916316.6066586808</v>
      </c>
      <c r="Z125" s="12">
        <f>Z122+Z123</f>
        <v>3082088.122598846</v>
      </c>
      <c r="AA125" s="12">
        <f>AA122+AA123</f>
        <v>3339671.6303861686</v>
      </c>
      <c r="AB125" s="12">
        <f>AB122+AB123</f>
        <v>3477711.7203628928</v>
      </c>
    </row>
    <row r="126" spans="1:28" s="22" customFormat="1" ht="31.5" x14ac:dyDescent="0.2">
      <c r="A126" s="19" t="s">
        <v>229</v>
      </c>
      <c r="B126" s="20" t="s">
        <v>230</v>
      </c>
      <c r="C126" s="33" t="s">
        <v>231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68" t="s">
        <v>232</v>
      </c>
      <c r="B127" s="370" t="s">
        <v>233</v>
      </c>
      <c r="C127" s="33" t="s">
        <v>234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69"/>
      <c r="B128" s="371"/>
      <c r="C128" s="33" t="s">
        <v>231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235</v>
      </c>
      <c r="B129" s="305" t="s">
        <v>236</v>
      </c>
      <c r="C129" s="306" t="s">
        <v>237</v>
      </c>
      <c r="D129" s="307" t="s">
        <v>2</v>
      </c>
      <c r="E129" s="310">
        <v>1.49</v>
      </c>
      <c r="F129" s="311">
        <f t="shared" ref="F129:T129" si="56">F125/F126</f>
        <v>1.6499999994428611</v>
      </c>
      <c r="G129" s="312">
        <f t="shared" si="56"/>
        <v>1.6723071119474751</v>
      </c>
      <c r="H129" s="313">
        <f>H125/H126</f>
        <v>1.734465375130575</v>
      </c>
      <c r="I129" s="314">
        <f t="shared" si="56"/>
        <v>3.8356240429613662</v>
      </c>
      <c r="J129" s="314">
        <f t="shared" si="56"/>
        <v>3.2397598473922695</v>
      </c>
      <c r="K129" s="314">
        <f t="shared" si="56"/>
        <v>3.5517784373299524</v>
      </c>
      <c r="L129" s="314">
        <f t="shared" si="56"/>
        <v>3.7829906686458883</v>
      </c>
      <c r="M129" s="314">
        <f t="shared" si="56"/>
        <v>4.1154448455094617</v>
      </c>
      <c r="N129" s="314">
        <f t="shared" si="56"/>
        <v>4.457562332893108</v>
      </c>
      <c r="O129" s="315">
        <f t="shared" si="56"/>
        <v>0</v>
      </c>
      <c r="P129" s="316">
        <f t="shared" si="56"/>
        <v>1.9815845786517952</v>
      </c>
      <c r="Q129" s="314">
        <f t="shared" si="56"/>
        <v>2.1464243589388792</v>
      </c>
      <c r="R129" s="314">
        <f t="shared" si="56"/>
        <v>2.2345706843196167</v>
      </c>
      <c r="S129" s="314">
        <f t="shared" si="56"/>
        <v>2.4028330629401649</v>
      </c>
      <c r="T129" s="314">
        <f t="shared" si="56"/>
        <v>2.4769678546743581</v>
      </c>
      <c r="U129" s="308"/>
      <c r="W129" s="315">
        <f t="shared" ref="W129:AB129" si="57">W125/W126</f>
        <v>0</v>
      </c>
      <c r="X129" s="316">
        <f t="shared" si="57"/>
        <v>2.0164057885616828</v>
      </c>
      <c r="Y129" s="314">
        <f t="shared" si="57"/>
        <v>2.1845020891974825</v>
      </c>
      <c r="Z129" s="314">
        <f t="shared" si="57"/>
        <v>2.2756248861510144</v>
      </c>
      <c r="AA129" s="314">
        <f t="shared" si="57"/>
        <v>2.4474796542162758</v>
      </c>
      <c r="AB129" s="314">
        <f t="shared" si="57"/>
        <v>2.5234829189660877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>
        <f>X130+Y130+Z130+AA130+AB130</f>
        <v>0.78948291896608769</v>
      </c>
      <c r="X130" s="317">
        <f>X129-1.734</f>
        <v>0.28240578856168286</v>
      </c>
      <c r="Y130" s="318">
        <f>Y129-X129</f>
        <v>0.16809630063579961</v>
      </c>
      <c r="Z130" s="318">
        <f>Z129-Y129</f>
        <v>9.1122796953531982E-2</v>
      </c>
      <c r="AA130" s="318">
        <f>AA129-Z129</f>
        <v>0.17185476806526134</v>
      </c>
      <c r="AB130" s="318">
        <f>AB129-AA129</f>
        <v>7.6003264749811894E-2</v>
      </c>
    </row>
    <row r="131" spans="1:28" s="22" customFormat="1" hidden="1" x14ac:dyDescent="0.2">
      <c r="A131" s="36"/>
      <c r="B131" s="13" t="s">
        <v>238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239</v>
      </c>
      <c r="B132" s="8" t="s">
        <v>240</v>
      </c>
      <c r="C132" s="9" t="s">
        <v>241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242</v>
      </c>
      <c r="B133" s="13" t="s">
        <v>243</v>
      </c>
      <c r="C133" s="14" t="s">
        <v>241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244</v>
      </c>
      <c r="B134" s="13" t="s">
        <v>245</v>
      </c>
      <c r="C134" s="14" t="s">
        <v>241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246</v>
      </c>
      <c r="B135" s="24" t="s">
        <v>252</v>
      </c>
      <c r="C135" s="37" t="s">
        <v>253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65017.193314263444</v>
      </c>
      <c r="Y135" s="21">
        <f>(Y17+Y86)*1000/12/Y132</f>
        <v>68810.959193410119</v>
      </c>
      <c r="Z135" s="21">
        <f>(Z17+Z86)*1000/12/Z132</f>
        <v>72320.530491777725</v>
      </c>
      <c r="AA135" s="21">
        <f>(AA17+AA86)*1000/12/AA132</f>
        <v>76365.14371128715</v>
      </c>
      <c r="AB135" s="21">
        <f>(AB17+AB86)*1000/12/AB132</f>
        <v>80822.805131609857</v>
      </c>
    </row>
    <row r="136" spans="1:28" hidden="1" x14ac:dyDescent="0.2">
      <c r="A136" s="5" t="s">
        <v>254</v>
      </c>
      <c r="B136" s="13" t="s">
        <v>243</v>
      </c>
      <c r="C136" s="6" t="s">
        <v>253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255</v>
      </c>
      <c r="B137" s="13" t="s">
        <v>245</v>
      </c>
      <c r="C137" s="6" t="s">
        <v>253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82528.902415217395</v>
      </c>
      <c r="Y137" s="16">
        <f>Y86*1000/12/Y134</f>
        <v>87480.636560130442</v>
      </c>
      <c r="Z137" s="16">
        <f>Z86*1000/12/Z134</f>
        <v>92729.474753738279</v>
      </c>
      <c r="AA137" s="16">
        <f>AA86*1000/12/AA134</f>
        <v>98293.243238962576</v>
      </c>
      <c r="AB137" s="16">
        <f>AB86*1000/12/AB134</f>
        <v>104190.83783330033</v>
      </c>
    </row>
    <row r="138" spans="1:28" s="2" customFormat="1" ht="47.25" hidden="1" x14ac:dyDescent="0.2">
      <c r="A138" s="7" t="s">
        <v>256</v>
      </c>
      <c r="B138" s="24" t="s">
        <v>257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258</v>
      </c>
      <c r="B139" s="24" t="s">
        <v>259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260</v>
      </c>
      <c r="B140" s="24" t="s">
        <v>261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58">G25</f>
        <v>93616.365999999995</v>
      </c>
      <c r="H140" s="21"/>
      <c r="I140" s="21">
        <f t="shared" si="58"/>
        <v>1667189.0600838566</v>
      </c>
      <c r="J140" s="21">
        <f t="shared" si="58"/>
        <v>272764.4323708351</v>
      </c>
      <c r="K140" s="21">
        <f t="shared" si="58"/>
        <v>335013.72199742129</v>
      </c>
      <c r="L140" s="21">
        <f t="shared" si="58"/>
        <v>318175.86927500006</v>
      </c>
      <c r="M140" s="21">
        <f t="shared" si="58"/>
        <v>357754.38045310002</v>
      </c>
      <c r="N140" s="21">
        <f t="shared" si="58"/>
        <v>383480.65598750004</v>
      </c>
      <c r="O140" s="148">
        <f t="shared" si="58"/>
        <v>817395.6399999999</v>
      </c>
      <c r="P140" s="12">
        <f t="shared" si="58"/>
        <v>103926.48</v>
      </c>
      <c r="Q140" s="21">
        <f t="shared" si="58"/>
        <v>163401.60999999999</v>
      </c>
      <c r="R140" s="21">
        <f t="shared" si="58"/>
        <v>172872.08</v>
      </c>
      <c r="S140" s="21">
        <f t="shared" si="58"/>
        <v>183177.68</v>
      </c>
      <c r="T140" s="21">
        <f t="shared" si="58"/>
        <v>194017.79</v>
      </c>
      <c r="U140" s="111"/>
      <c r="W140" s="148">
        <f t="shared" ref="W140:AB140" si="59">W25</f>
        <v>817395.6399999999</v>
      </c>
      <c r="X140" s="12">
        <f t="shared" si="59"/>
        <v>103926.48</v>
      </c>
      <c r="Y140" s="21">
        <f t="shared" si="59"/>
        <v>163401.60999999999</v>
      </c>
      <c r="Z140" s="21">
        <f t="shared" si="59"/>
        <v>172872.08</v>
      </c>
      <c r="AA140" s="21">
        <f t="shared" si="59"/>
        <v>183177.68</v>
      </c>
      <c r="AB140" s="21">
        <f t="shared" si="59"/>
        <v>194017.79</v>
      </c>
    </row>
    <row r="141" spans="1:28" hidden="1" x14ac:dyDescent="0.2">
      <c r="A141" s="5" t="s">
        <v>262</v>
      </c>
      <c r="B141" s="13" t="s">
        <v>263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0">G140-G144</f>
        <v>84260.525999999998</v>
      </c>
      <c r="H141" s="16"/>
      <c r="I141" s="16">
        <f t="shared" si="60"/>
        <v>1622213.8142438566</v>
      </c>
      <c r="J141" s="16">
        <f t="shared" si="60"/>
        <v>266448.86437083507</v>
      </c>
      <c r="K141" s="16">
        <f t="shared" si="60"/>
        <v>326874.39891742129</v>
      </c>
      <c r="L141" s="16">
        <f t="shared" si="60"/>
        <v>309206.41927500005</v>
      </c>
      <c r="M141" s="16">
        <f t="shared" si="60"/>
        <v>348328.0881931</v>
      </c>
      <c r="N141" s="16">
        <f t="shared" si="60"/>
        <v>371356.04348750005</v>
      </c>
      <c r="O141" s="136">
        <f t="shared" si="60"/>
        <v>772420.39415999991</v>
      </c>
      <c r="P141" s="15">
        <f t="shared" si="60"/>
        <v>97610.911999999997</v>
      </c>
      <c r="Q141" s="16">
        <f t="shared" si="60"/>
        <v>155262.28691999998</v>
      </c>
      <c r="R141" s="16">
        <f t="shared" si="60"/>
        <v>163902.62999999998</v>
      </c>
      <c r="S141" s="16">
        <f t="shared" si="60"/>
        <v>173751.38774000001</v>
      </c>
      <c r="T141" s="16">
        <f t="shared" si="60"/>
        <v>181893.17750000002</v>
      </c>
      <c r="W141" s="136">
        <f t="shared" ref="W141:AB141" si="61">W140-W144</f>
        <v>772420.39415999991</v>
      </c>
      <c r="X141" s="15">
        <f t="shared" si="61"/>
        <v>97610.911999999997</v>
      </c>
      <c r="Y141" s="16">
        <f t="shared" si="61"/>
        <v>155262.28691999998</v>
      </c>
      <c r="Z141" s="16">
        <f t="shared" si="61"/>
        <v>163902.62999999998</v>
      </c>
      <c r="AA141" s="16">
        <f t="shared" si="61"/>
        <v>173751.38774000001</v>
      </c>
      <c r="AB141" s="16">
        <f t="shared" si="61"/>
        <v>181893.17750000002</v>
      </c>
    </row>
    <row r="142" spans="1:28" hidden="1" x14ac:dyDescent="0.2">
      <c r="A142" s="5" t="s">
        <v>264</v>
      </c>
      <c r="B142" s="13" t="s">
        <v>265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266</v>
      </c>
      <c r="B143" s="13" t="s">
        <v>267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268</v>
      </c>
      <c r="B144" s="13" t="s">
        <v>269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66" t="s">
        <v>270</v>
      </c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</row>
    <row r="148" spans="1:28" ht="110.25" hidden="1" x14ac:dyDescent="0.2">
      <c r="A148" s="38">
        <v>9</v>
      </c>
      <c r="B148" s="39" t="s">
        <v>247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47.25" hidden="1" x14ac:dyDescent="0.2">
      <c r="A149" s="38">
        <v>10</v>
      </c>
      <c r="B149" s="39" t="s">
        <v>248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118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119</v>
      </c>
      <c r="B151" s="39" t="s">
        <v>120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121</v>
      </c>
      <c r="B152" s="39" t="s">
        <v>122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123</v>
      </c>
      <c r="B153" s="39" t="s">
        <v>124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125</v>
      </c>
      <c r="B154" s="39" t="s">
        <v>126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127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128</v>
      </c>
      <c r="C156" s="40" t="s">
        <v>231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129</v>
      </c>
      <c r="C157" s="40" t="s">
        <v>130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131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65"/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16.286377656383095</v>
      </c>
      <c r="Y184" s="158">
        <f>AB129-1.734</f>
        <v>0.78948291896608769</v>
      </c>
    </row>
    <row r="185" spans="10:28" hidden="1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U6:U7"/>
    <mergeCell ref="K1:N1"/>
    <mergeCell ref="Q1:T1"/>
    <mergeCell ref="Y1:AB1"/>
    <mergeCell ref="L2:N2"/>
    <mergeCell ref="R2:T2"/>
    <mergeCell ref="Z2:AB2"/>
    <mergeCell ref="O6:T6"/>
    <mergeCell ref="W6:AB6"/>
    <mergeCell ref="A3:N3"/>
    <mergeCell ref="A4:N4"/>
    <mergeCell ref="B5:F5"/>
    <mergeCell ref="A6:A7"/>
    <mergeCell ref="B6:B7"/>
    <mergeCell ref="C6:C7"/>
    <mergeCell ref="D6:D7"/>
    <mergeCell ref="A161:N161"/>
    <mergeCell ref="H6:H7"/>
    <mergeCell ref="I6:N6"/>
    <mergeCell ref="F6:F7"/>
    <mergeCell ref="A147:N147"/>
    <mergeCell ref="A127:A128"/>
    <mergeCell ref="B127:B128"/>
    <mergeCell ref="G6:G7"/>
    <mergeCell ref="E6:E7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1 вариант</vt:lpstr>
      <vt:lpstr>азамат</vt:lpstr>
      <vt:lpstr>2 вариант</vt:lpstr>
      <vt:lpstr>3 вариант</vt:lpstr>
      <vt:lpstr>шеф корректирр</vt:lpstr>
      <vt:lpstr>прил13 тар смета</vt:lpstr>
      <vt:lpstr>шеф коррект. укороч</vt:lpstr>
      <vt:lpstr>'1 вариант'!Заголовки_для_печати</vt:lpstr>
      <vt:lpstr>'2 вариант'!Заголовки_для_печати</vt:lpstr>
      <vt:lpstr>'3 вариант'!Заголовки_для_печати</vt:lpstr>
      <vt:lpstr>азамат!Заголовки_для_печати</vt:lpstr>
      <vt:lpstr>'прил13 тар смета'!Заголовки_для_печати</vt:lpstr>
      <vt:lpstr>'шеф коррект. укороч'!Заголовки_для_печати</vt:lpstr>
      <vt:lpstr>'шеф корректирр'!Заголовки_для_печати</vt:lpstr>
      <vt:lpstr>'прил13 тар смета'!Область_печати</vt:lpstr>
    </vt:vector>
  </TitlesOfParts>
  <Company>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MMelnikov</dc:creator>
  <cp:lastModifiedBy>LMalceva</cp:lastModifiedBy>
  <cp:lastPrinted>2025-07-23T06:22:44Z</cp:lastPrinted>
  <dcterms:created xsi:type="dcterms:W3CDTF">2015-08-25T04:44:22Z</dcterms:created>
  <dcterms:modified xsi:type="dcterms:W3CDTF">2025-07-23T09:08:09Z</dcterms:modified>
</cp:coreProperties>
</file>